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19320" windowHeight="13032"/>
  </bookViews>
  <sheets>
    <sheet name="Estimate" sheetId="1" r:id="rId1"/>
    <sheet name="Data and Calcs" sheetId="2" state="hidden" r:id="rId2"/>
  </sheets>
  <definedNames>
    <definedName name="_xlnm.Print_Area" localSheetId="0">Estimate!$A$1:$H$42</definedName>
    <definedName name="StaffTypes">'Data and Calcs'!$A$1:$A$2</definedName>
  </definedNames>
  <calcPr calcId="145621"/>
</workbook>
</file>

<file path=xl/calcChain.xml><?xml version="1.0" encoding="utf-8"?>
<calcChain xmlns="http://schemas.openxmlformats.org/spreadsheetml/2006/main">
  <c r="H26" i="1" l="1"/>
  <c r="D6" i="2"/>
  <c r="D4" i="2"/>
  <c r="D2" i="2"/>
  <c r="D31" i="2"/>
  <c r="D80" i="2"/>
  <c r="H25" i="1"/>
  <c r="H34" i="1"/>
  <c r="D7" i="2"/>
  <c r="D5" i="2"/>
  <c r="D3" i="2"/>
  <c r="D1" i="2"/>
  <c r="E59" i="2"/>
  <c r="E31" i="2"/>
  <c r="E80" i="2"/>
  <c r="C31" i="2"/>
  <c r="C80" i="2"/>
  <c r="D65" i="2"/>
  <c r="D42" i="2"/>
  <c r="D72" i="2"/>
  <c r="D75" i="2"/>
  <c r="D74" i="2"/>
  <c r="D76" i="2"/>
  <c r="C83" i="2"/>
  <c r="C42" i="2"/>
  <c r="C43" i="2"/>
  <c r="C65" i="2"/>
  <c r="C67" i="2"/>
  <c r="C45" i="2"/>
  <c r="C56" i="2"/>
  <c r="C57" i="2"/>
  <c r="C72" i="2"/>
  <c r="C75" i="2"/>
  <c r="C74" i="2"/>
  <c r="C76" i="2"/>
  <c r="D56" i="2"/>
  <c r="E35" i="2"/>
  <c r="D43" i="2"/>
  <c r="D44" i="2"/>
  <c r="D67" i="2"/>
  <c r="D83" i="2"/>
  <c r="D16" i="2"/>
  <c r="D15" i="2"/>
  <c r="C35" i="2"/>
  <c r="D35" i="2"/>
  <c r="H27" i="1"/>
  <c r="C47" i="2"/>
  <c r="D20" i="2"/>
  <c r="C54" i="2"/>
  <c r="D11" i="2"/>
  <c r="C69" i="2"/>
  <c r="E69" i="2"/>
  <c r="D9" i="2"/>
  <c r="E54" i="2"/>
  <c r="E56" i="2"/>
  <c r="E57" i="2"/>
  <c r="E72" i="2"/>
  <c r="E75" i="2"/>
  <c r="E74" i="2"/>
  <c r="E76" i="2"/>
  <c r="C44" i="2"/>
  <c r="D21" i="2"/>
  <c r="D69" i="2"/>
  <c r="C48" i="2"/>
  <c r="I19" i="1"/>
  <c r="D22" i="2"/>
  <c r="E83" i="2"/>
  <c r="D59" i="2"/>
  <c r="D10" i="2"/>
  <c r="D45" i="2"/>
  <c r="D47" i="2"/>
  <c r="D48" i="2"/>
  <c r="D57" i="2"/>
  <c r="E65" i="2"/>
  <c r="E67" i="2"/>
  <c r="D18" i="2"/>
  <c r="I20" i="1"/>
  <c r="C59" i="2"/>
  <c r="D13" i="2"/>
  <c r="D24" i="2"/>
  <c r="D54" i="2"/>
  <c r="D25" i="2"/>
  <c r="E43" i="2"/>
  <c r="E42" i="2"/>
  <c r="E44" i="2"/>
  <c r="E45" i="2"/>
  <c r="E47" i="2"/>
  <c r="E48" i="2"/>
  <c r="H24" i="1"/>
  <c r="H37" i="1"/>
  <c r="F33" i="1"/>
  <c r="F32" i="1"/>
  <c r="H33" i="1"/>
  <c r="H38" i="1"/>
  <c r="H39" i="1"/>
</calcChain>
</file>

<file path=xl/sharedStrings.xml><?xml version="1.0" encoding="utf-8"?>
<sst xmlns="http://schemas.openxmlformats.org/spreadsheetml/2006/main" count="96" uniqueCount="95">
  <si>
    <t>INSTRUCTIONS</t>
  </si>
  <si>
    <t xml:space="preserve">Enter your details in the PERSONAL DETAILS section. Once your PERSONAL DETAILS have </t>
  </si>
  <si>
    <t>been entered, the spreadsheet will estimate the redundancy payments for you.</t>
  </si>
  <si>
    <t>PERSONAL DETAILS</t>
  </si>
  <si>
    <t>Accrued Annual Leave $</t>
  </si>
  <si>
    <t>Accrued Long Service Leave $</t>
  </si>
  <si>
    <t>Box A</t>
  </si>
  <si>
    <t>Box B</t>
  </si>
  <si>
    <t>Box C</t>
  </si>
  <si>
    <t>FIGURES MAY CHANGE ON ANY FINAL CALCULATIONS/PAYMENT</t>
  </si>
  <si>
    <t xml:space="preserve"> = Boxes which must be completed by staff member</t>
  </si>
  <si>
    <t>Redundancy Payment - Taxable Component</t>
  </si>
  <si>
    <t>Tax Amount</t>
  </si>
  <si>
    <t>Total Gross Amount</t>
  </si>
  <si>
    <t>Less Tax</t>
  </si>
  <si>
    <t>NETT AMOUNT</t>
  </si>
  <si>
    <t>VRP Breakup</t>
  </si>
  <si>
    <t xml:space="preserve">Accrued Leave Tax Amount </t>
  </si>
  <si>
    <t>Lump Sum Incentive $</t>
  </si>
  <si>
    <t>Box D</t>
  </si>
  <si>
    <t>PLEASE BE ADVISED THIS IS AN ESTIMATION ONLY</t>
  </si>
  <si>
    <t>G</t>
  </si>
  <si>
    <t>A</t>
  </si>
  <si>
    <t>T</t>
  </si>
  <si>
    <t>General Staff</t>
  </si>
  <si>
    <t>Academic Staff</t>
  </si>
  <si>
    <t>TAFE Teacher</t>
  </si>
  <si>
    <t>General Staff Calc</t>
  </si>
  <si>
    <t>Academic Staff Calc</t>
  </si>
  <si>
    <t>TAFE Teacher Calc</t>
  </si>
  <si>
    <t>DOB</t>
  </si>
  <si>
    <t>DOC</t>
  </si>
  <si>
    <t>DOD</t>
  </si>
  <si>
    <t>Salary</t>
  </si>
  <si>
    <t>Fraction</t>
  </si>
  <si>
    <t>Annual Leave hours</t>
  </si>
  <si>
    <t>LSL Days</t>
  </si>
  <si>
    <t>Completed Years</t>
  </si>
  <si>
    <t>Completed Months</t>
  </si>
  <si>
    <t>Completed Days</t>
  </si>
  <si>
    <t>Incentive Lump</t>
  </si>
  <si>
    <t>Incentive Calc</t>
  </si>
  <si>
    <t>Max Red. Weeks</t>
  </si>
  <si>
    <t>Red Wks first 10</t>
  </si>
  <si>
    <t>Red Wks after 10</t>
  </si>
  <si>
    <t>First 10 years</t>
  </si>
  <si>
    <t>Balance after 10 years</t>
  </si>
  <si>
    <t>Calcd Red Weeks 10</t>
  </si>
  <si>
    <t>Calcd Red Weeks after 10</t>
  </si>
  <si>
    <t>Total Calcd Weeks</t>
  </si>
  <si>
    <t>Total Weeks for Calc</t>
  </si>
  <si>
    <t>Vol Red Benefit</t>
  </si>
  <si>
    <t>VRB Tax Component</t>
  </si>
  <si>
    <t xml:space="preserve">   Base Limit</t>
  </si>
  <si>
    <t xml:space="preserve">   Each Compl Yr</t>
  </si>
  <si>
    <t>Tax Free Amount</t>
  </si>
  <si>
    <t>Tax Free Calc</t>
  </si>
  <si>
    <t>Taxable Amount</t>
  </si>
  <si>
    <t>Age Years</t>
  </si>
  <si>
    <t>Age Months</t>
  </si>
  <si>
    <t>Age Days</t>
  </si>
  <si>
    <t>VRB applicable Tax Rate</t>
  </si>
  <si>
    <t>CAP Amount</t>
  </si>
  <si>
    <t>Excess Rate</t>
  </si>
  <si>
    <t>Excess above cap</t>
  </si>
  <si>
    <t>CAP Tax</t>
  </si>
  <si>
    <t>VRB Tax</t>
  </si>
  <si>
    <t>Total VRB Tax</t>
  </si>
  <si>
    <t>LSL Days Calc</t>
  </si>
  <si>
    <t>Total Days in completed year</t>
  </si>
  <si>
    <t>Completed Year</t>
  </si>
  <si>
    <t>Hours per fortnight</t>
  </si>
  <si>
    <t>Annual Leave $ Calc</t>
  </si>
  <si>
    <t>Total Red Benefit</t>
  </si>
  <si>
    <t>Completed Years Total</t>
  </si>
  <si>
    <t>(Please note that tax on leave entitlements is an estimate only and based on 31.5% as a general guide - see FAQs)</t>
  </si>
  <si>
    <r>
      <t xml:space="preserve">Annual Leave Balance in Hours
</t>
    </r>
    <r>
      <rPr>
        <i/>
        <sz val="9"/>
        <rFont val="Arial"/>
        <family val="2"/>
      </rPr>
      <t>(Obtain leave balance from payslip and then add weekly accrual to date of departure. See FAQs for further information).</t>
    </r>
  </si>
  <si>
    <r>
      <t xml:space="preserve">Employee Name </t>
    </r>
    <r>
      <rPr>
        <i/>
        <sz val="9"/>
        <rFont val="Arial"/>
        <family val="2"/>
      </rPr>
      <t>(Only required if submitting estimation sheet with VRP application).</t>
    </r>
  </si>
  <si>
    <t>John Citizen</t>
  </si>
  <si>
    <t>Tax Rate to Apply</t>
  </si>
  <si>
    <t>Preservation Age</t>
  </si>
  <si>
    <t>Tax Rate Under Presv Age</t>
  </si>
  <si>
    <t>Tax Rate Over Presv Age</t>
  </si>
  <si>
    <r>
      <t xml:space="preserve">Redundancy Payment $
</t>
    </r>
    <r>
      <rPr>
        <i/>
        <sz val="9"/>
        <rFont val="Arial"/>
        <family val="2"/>
      </rPr>
      <t>Note: LWOP will not count as service, and may reduce this payment.</t>
    </r>
  </si>
  <si>
    <r>
      <t xml:space="preserve">Redundancy Payment - Tax Free Component
</t>
    </r>
    <r>
      <rPr>
        <i/>
        <sz val="9"/>
        <rFont val="Arial"/>
        <family val="2"/>
      </rPr>
      <t>Note: LWOP may reduce this Tax Free Component</t>
    </r>
  </si>
  <si>
    <r>
      <t xml:space="preserve">Long Service Leave Balance in Days
</t>
    </r>
    <r>
      <rPr>
        <i/>
        <sz val="9"/>
        <rFont val="Arial"/>
        <family val="2"/>
      </rPr>
      <t>Note: This figure is only an estimate and may not take into account any long service leave taken, LWOP or fraction changes.</t>
    </r>
  </si>
  <si>
    <t>General or TAFE Teacher employee (Please Select)</t>
  </si>
  <si>
    <t>Targeted Redundancy Program Payments</t>
  </si>
  <si>
    <t>Targeted Redundancy Program Taxation</t>
  </si>
  <si>
    <t>Date of Birth, eg. 13/09/1956</t>
  </si>
  <si>
    <t>Date of Commencement, eg. 12/10/1985</t>
  </si>
  <si>
    <t>Annual Salary (full-time), eg. $45,000.00 p.a</t>
  </si>
  <si>
    <t>Current Time Fraction (eg. full-time = 100%, part-time = 80%, 60% etc)</t>
  </si>
  <si>
    <t>Targeted Redundancy Program Estimation Calculator 2013</t>
  </si>
  <si>
    <t>Anticipated Date of Departure, eg. 13/12/2013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</si>
</sst>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75" formatCode="&quot;$&quot;#,##0"/>
    <numFmt numFmtId="176" formatCode="[$-C09]dd\-mmm\-yy;@"/>
    <numFmt numFmtId="177" formatCode="&quot;$&quot;#,##0.00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Fill="1" applyAlignment="1"/>
    <xf numFmtId="0" fontId="1" fillId="0" borderId="0" xfId="0" applyFont="1"/>
    <xf numFmtId="0" fontId="0" fillId="2" borderId="1" xfId="0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4" fontId="0" fillId="3" borderId="1" xfId="0" applyNumberFormat="1" applyFill="1" applyBorder="1"/>
    <xf numFmtId="44" fontId="2" fillId="0" borderId="1" xfId="0" applyNumberFormat="1" applyFont="1" applyBorder="1"/>
    <xf numFmtId="10" fontId="0" fillId="0" borderId="0" xfId="0" applyNumberFormat="1"/>
    <xf numFmtId="2" fontId="0" fillId="0" borderId="0" xfId="0" applyNumberFormat="1"/>
    <xf numFmtId="175" fontId="0" fillId="0" borderId="0" xfId="0" applyNumberFormat="1"/>
    <xf numFmtId="176" fontId="0" fillId="0" borderId="0" xfId="0" applyNumberFormat="1"/>
    <xf numFmtId="8" fontId="0" fillId="0" borderId="0" xfId="0" applyNumberFormat="1"/>
    <xf numFmtId="177" fontId="0" fillId="0" borderId="0" xfId="0" applyNumberFormat="1"/>
    <xf numFmtId="177" fontId="0" fillId="5" borderId="0" xfId="0" applyNumberFormat="1" applyFill="1"/>
    <xf numFmtId="8" fontId="0" fillId="5" borderId="0" xfId="0" applyNumberFormat="1" applyFill="1"/>
    <xf numFmtId="44" fontId="0" fillId="3" borderId="1" xfId="1" applyNumberFormat="1" applyFont="1" applyFill="1" applyBorder="1"/>
    <xf numFmtId="44" fontId="0" fillId="3" borderId="1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14" fontId="2" fillId="2" borderId="2" xfId="0" applyNumberFormat="1" applyFont="1" applyFill="1" applyBorder="1" applyAlignment="1" applyProtection="1">
      <alignment horizontal="center"/>
      <protection locked="0"/>
    </xf>
    <xf numFmtId="6" fontId="2" fillId="2" borderId="2" xfId="0" applyNumberFormat="1" applyFont="1" applyFill="1" applyBorder="1" applyAlignment="1" applyProtection="1">
      <alignment horizontal="center"/>
      <protection locked="0"/>
    </xf>
    <xf numFmtId="9" fontId="2" fillId="2" borderId="2" xfId="2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/>
      <protection locked="0"/>
    </xf>
    <xf numFmtId="0" fontId="0" fillId="6" borderId="0" xfId="0" applyFill="1"/>
    <xf numFmtId="0" fontId="2" fillId="2" borderId="2" xfId="0" applyFont="1" applyFill="1" applyBorder="1" applyAlignment="1" applyProtection="1">
      <alignment horizontal="center" wrapText="1"/>
      <protection locked="0"/>
    </xf>
    <xf numFmtId="14" fontId="0" fillId="0" borderId="0" xfId="0" applyNumberFormat="1"/>
    <xf numFmtId="0" fontId="6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2" fontId="5" fillId="0" borderId="0" xfId="0" applyNumberFormat="1" applyFont="1" applyAlignment="1">
      <alignment vertical="top" wrapText="1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8" xfId="0" applyBorder="1" applyAlignment="1">
      <alignment vertical="top" wrapText="1"/>
    </xf>
    <xf numFmtId="0" fontId="7" fillId="0" borderId="0" xfId="0" applyFont="1" applyAlignment="1">
      <alignment wrapText="1"/>
    </xf>
    <xf numFmtId="0" fontId="7" fillId="0" borderId="8" xfId="0" applyFont="1" applyBorder="1" applyAlignment="1">
      <alignment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/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44" fontId="0" fillId="3" borderId="1" xfId="0" applyNumberFormat="1" applyFill="1" applyBorder="1" applyAlignment="1">
      <alignment horizontal="center"/>
    </xf>
    <xf numFmtId="0" fontId="5" fillId="0" borderId="6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42"/>
  <sheetViews>
    <sheetView tabSelected="1" workbookViewId="0">
      <selection activeCell="H12" sqref="H12"/>
    </sheetView>
  </sheetViews>
  <sheetFormatPr defaultRowHeight="13.2" x14ac:dyDescent="0.25"/>
  <cols>
    <col min="6" max="6" width="9.88671875" customWidth="1"/>
    <col min="7" max="7" width="8.6640625" customWidth="1"/>
    <col min="8" max="8" width="23.33203125" customWidth="1"/>
    <col min="10" max="10" width="10.88671875" customWidth="1"/>
    <col min="12" max="12" width="18.5546875" customWidth="1"/>
  </cols>
  <sheetData>
    <row r="1" spans="1:9" ht="18.75" customHeight="1" x14ac:dyDescent="0.3">
      <c r="A1" s="44" t="s">
        <v>93</v>
      </c>
      <c r="B1" s="45"/>
      <c r="C1" s="45"/>
      <c r="D1" s="45"/>
      <c r="E1" s="45"/>
      <c r="F1" s="45"/>
      <c r="G1" s="45"/>
      <c r="H1" s="46"/>
    </row>
    <row r="3" spans="1:9" x14ac:dyDescent="0.25">
      <c r="A3" s="1" t="s">
        <v>0</v>
      </c>
    </row>
    <row r="4" spans="1:9" ht="8.25" customHeight="1" x14ac:dyDescent="0.25"/>
    <row r="5" spans="1:9" x14ac:dyDescent="0.25">
      <c r="A5" t="s">
        <v>1</v>
      </c>
    </row>
    <row r="6" spans="1:9" x14ac:dyDescent="0.25">
      <c r="A6" t="s">
        <v>2</v>
      </c>
    </row>
    <row r="8" spans="1:9" ht="21" customHeight="1" x14ac:dyDescent="0.3">
      <c r="A8" s="28" t="s">
        <v>3</v>
      </c>
      <c r="B8" s="29"/>
      <c r="C8" s="29"/>
      <c r="D8" s="29"/>
      <c r="E8" s="29"/>
      <c r="F8" s="29"/>
      <c r="G8" s="29"/>
      <c r="H8" s="30"/>
      <c r="I8" s="2"/>
    </row>
    <row r="9" spans="1:9" ht="12.75" customHeight="1" x14ac:dyDescent="0.3">
      <c r="A9" s="5"/>
      <c r="B9" s="5"/>
      <c r="C9" s="5"/>
      <c r="D9" s="5"/>
      <c r="E9" s="5"/>
      <c r="F9" s="5"/>
      <c r="G9" s="5"/>
      <c r="H9" s="5"/>
      <c r="I9" s="2"/>
    </row>
    <row r="10" spans="1:9" x14ac:dyDescent="0.25">
      <c r="A10" s="4"/>
      <c r="B10" t="s">
        <v>10</v>
      </c>
    </row>
    <row r="11" spans="1:9" ht="13.8" thickBot="1" x14ac:dyDescent="0.3"/>
    <row r="12" spans="1:9" ht="29.25" customHeight="1" thickBot="1" x14ac:dyDescent="0.3">
      <c r="A12" s="35" t="s">
        <v>77</v>
      </c>
      <c r="B12" s="38"/>
      <c r="C12" s="38"/>
      <c r="D12" s="38"/>
      <c r="E12" s="38"/>
      <c r="F12" s="38"/>
      <c r="G12" s="39"/>
      <c r="H12" s="25" t="s">
        <v>78</v>
      </c>
    </row>
    <row r="13" spans="1:9" ht="18.75" customHeight="1" thickBot="1" x14ac:dyDescent="0.3">
      <c r="A13" t="s">
        <v>86</v>
      </c>
      <c r="E13" s="3"/>
      <c r="H13" s="19" t="s">
        <v>26</v>
      </c>
    </row>
    <row r="14" spans="1:9" ht="18.75" customHeight="1" thickBot="1" x14ac:dyDescent="0.3">
      <c r="A14" t="s">
        <v>89</v>
      </c>
      <c r="H14" s="20">
        <v>36526</v>
      </c>
    </row>
    <row r="15" spans="1:9" ht="18.75" customHeight="1" thickBot="1" x14ac:dyDescent="0.3">
      <c r="A15" t="s">
        <v>90</v>
      </c>
      <c r="H15" s="20">
        <v>40179</v>
      </c>
    </row>
    <row r="16" spans="1:9" ht="18.75" customHeight="1" thickBot="1" x14ac:dyDescent="0.3">
      <c r="A16" t="s">
        <v>94</v>
      </c>
      <c r="H16" s="20">
        <v>41621</v>
      </c>
    </row>
    <row r="17" spans="1:12" ht="18.75" customHeight="1" thickBot="1" x14ac:dyDescent="0.3">
      <c r="A17" t="s">
        <v>91</v>
      </c>
      <c r="H17" s="21">
        <v>0</v>
      </c>
    </row>
    <row r="18" spans="1:12" ht="18.75" customHeight="1" thickBot="1" x14ac:dyDescent="0.3">
      <c r="A18" t="s">
        <v>92</v>
      </c>
      <c r="H18" s="22">
        <v>0</v>
      </c>
    </row>
    <row r="19" spans="1:12" ht="40.5" customHeight="1" thickBot="1" x14ac:dyDescent="0.3">
      <c r="A19" s="32" t="s">
        <v>76</v>
      </c>
      <c r="B19" s="33"/>
      <c r="C19" s="33"/>
      <c r="D19" s="33"/>
      <c r="E19" s="33"/>
      <c r="F19" s="33"/>
      <c r="G19" s="34"/>
      <c r="H19" s="23">
        <v>0</v>
      </c>
      <c r="I19" s="48" t="str">
        <f>"Your weekly accrual for Annual Leave is "&amp;TEXT(SUM('Data and Calcs'!C83:E83),"0.00")&amp;" hours."</f>
        <v>Your weekly accrual for Annual Leave is 0.00 hours.</v>
      </c>
      <c r="J19" s="37"/>
    </row>
    <row r="20" spans="1:12" ht="42" customHeight="1" thickBot="1" x14ac:dyDescent="0.3">
      <c r="A20" s="35" t="s">
        <v>85</v>
      </c>
      <c r="B20" s="35"/>
      <c r="C20" s="35"/>
      <c r="D20" s="35"/>
      <c r="E20" s="35"/>
      <c r="F20" s="35"/>
      <c r="G20" s="36"/>
      <c r="H20" s="23">
        <v>0</v>
      </c>
      <c r="I20" s="31" t="str">
        <f>"Estimated LSL based on start and end dates: "&amp;TEXT('Data and Calcs'!D18,"0.00")&amp;" days."</f>
        <v>Estimated LSL based on start and end dates: 0.00 days.</v>
      </c>
      <c r="J20" s="31"/>
    </row>
    <row r="21" spans="1:12" ht="20.25" customHeight="1" x14ac:dyDescent="0.25">
      <c r="I21" s="31"/>
      <c r="J21" s="31"/>
    </row>
    <row r="22" spans="1:12" ht="21" customHeight="1" x14ac:dyDescent="0.3">
      <c r="A22" s="28" t="s">
        <v>87</v>
      </c>
      <c r="B22" s="29"/>
      <c r="C22" s="29"/>
      <c r="D22" s="29"/>
      <c r="E22" s="29"/>
      <c r="F22" s="29"/>
      <c r="G22" s="29"/>
      <c r="H22" s="30"/>
    </row>
    <row r="24" spans="1:12" ht="25.5" customHeight="1" x14ac:dyDescent="0.25">
      <c r="A24" s="35" t="s">
        <v>83</v>
      </c>
      <c r="B24" s="40"/>
      <c r="C24" s="40"/>
      <c r="D24" s="40"/>
      <c r="E24" s="40"/>
      <c r="F24" s="40"/>
      <c r="G24" t="s">
        <v>6</v>
      </c>
      <c r="H24" s="7">
        <f>SUM('Data and Calcs'!C47:E47)</f>
        <v>0</v>
      </c>
    </row>
    <row r="25" spans="1:12" ht="18.75" customHeight="1" x14ac:dyDescent="0.25">
      <c r="A25" t="s">
        <v>4</v>
      </c>
      <c r="G25" t="s">
        <v>7</v>
      </c>
      <c r="H25" s="17">
        <f>SUM('Data and Calcs'!C80:E80)</f>
        <v>0</v>
      </c>
    </row>
    <row r="26" spans="1:12" ht="18.75" customHeight="1" x14ac:dyDescent="0.25">
      <c r="A26" t="s">
        <v>5</v>
      </c>
      <c r="G26" t="s">
        <v>8</v>
      </c>
      <c r="H26" s="17">
        <f>H17/365.25*7/5*H20</f>
        <v>0</v>
      </c>
      <c r="L26" s="10"/>
    </row>
    <row r="27" spans="1:12" ht="18.75" customHeight="1" x14ac:dyDescent="0.25">
      <c r="A27" t="s">
        <v>18</v>
      </c>
      <c r="G27" t="s">
        <v>19</v>
      </c>
      <c r="H27" s="17">
        <f>SUM('Data and Calcs'!C35:E35)</f>
        <v>0</v>
      </c>
    </row>
    <row r="29" spans="1:12" ht="21" customHeight="1" x14ac:dyDescent="0.3">
      <c r="A29" s="28" t="s">
        <v>88</v>
      </c>
      <c r="B29" s="29"/>
      <c r="C29" s="29"/>
      <c r="D29" s="29"/>
      <c r="E29" s="29"/>
      <c r="F29" s="29"/>
      <c r="G29" s="29"/>
      <c r="H29" s="30"/>
    </row>
    <row r="30" spans="1:12" ht="12.75" customHeight="1" x14ac:dyDescent="0.3">
      <c r="A30" s="5"/>
      <c r="B30" s="5"/>
      <c r="C30" s="5"/>
      <c r="D30" s="5"/>
      <c r="E30" s="5"/>
      <c r="F30" s="5"/>
      <c r="G30" s="5"/>
      <c r="H30" s="5"/>
    </row>
    <row r="31" spans="1:12" x14ac:dyDescent="0.25">
      <c r="F31" s="50" t="s">
        <v>16</v>
      </c>
      <c r="G31" s="50"/>
      <c r="H31" s="6" t="s">
        <v>12</v>
      </c>
    </row>
    <row r="32" spans="1:12" ht="29.25" customHeight="1" x14ac:dyDescent="0.25">
      <c r="A32" s="41" t="s">
        <v>84</v>
      </c>
      <c r="B32" s="42"/>
      <c r="C32" s="42"/>
      <c r="D32" s="42"/>
      <c r="E32" s="43"/>
      <c r="F32" s="47">
        <f>SUM('Data and Calcs'!C56:E56)</f>
        <v>0</v>
      </c>
      <c r="G32" s="47"/>
      <c r="H32" s="18">
        <v>0</v>
      </c>
    </row>
    <row r="33" spans="1:8" ht="18.75" customHeight="1" x14ac:dyDescent="0.25">
      <c r="A33" t="s">
        <v>11</v>
      </c>
      <c r="F33" s="47">
        <f>SUM('Data and Calcs'!C57:E57)</f>
        <v>0</v>
      </c>
      <c r="G33" s="47"/>
      <c r="H33" s="7">
        <f>SUM('Data and Calcs'!C76:E76)</f>
        <v>0</v>
      </c>
    </row>
    <row r="34" spans="1:8" ht="18.75" customHeight="1" x14ac:dyDescent="0.25">
      <c r="A34" t="s">
        <v>17</v>
      </c>
      <c r="H34" s="7">
        <f>(H25+H26)*0.315</f>
        <v>0</v>
      </c>
    </row>
    <row r="35" spans="1:8" x14ac:dyDescent="0.25">
      <c r="A35" s="37" t="s">
        <v>75</v>
      </c>
      <c r="B35" s="37"/>
      <c r="C35" s="37"/>
      <c r="D35" s="37"/>
      <c r="E35" s="37"/>
      <c r="F35" s="37"/>
      <c r="G35" s="37"/>
    </row>
    <row r="36" spans="1:8" x14ac:dyDescent="0.25">
      <c r="A36" s="37"/>
      <c r="B36" s="37"/>
      <c r="C36" s="37"/>
      <c r="D36" s="37"/>
      <c r="E36" s="37"/>
      <c r="F36" s="37"/>
      <c r="G36" s="37"/>
    </row>
    <row r="37" spans="1:8" ht="18.75" customHeight="1" x14ac:dyDescent="0.25">
      <c r="E37" s="49" t="s">
        <v>13</v>
      </c>
      <c r="F37" s="49"/>
      <c r="H37" s="8">
        <f>SUM(H24:H27)</f>
        <v>0</v>
      </c>
    </row>
    <row r="38" spans="1:8" ht="18.75" customHeight="1" x14ac:dyDescent="0.25">
      <c r="E38" s="49" t="s">
        <v>14</v>
      </c>
      <c r="F38" s="49"/>
      <c r="H38" s="8">
        <f>SUM(H32:H34)</f>
        <v>0</v>
      </c>
    </row>
    <row r="39" spans="1:8" ht="18.75" customHeight="1" x14ac:dyDescent="0.25">
      <c r="E39" s="49" t="s">
        <v>15</v>
      </c>
      <c r="F39" s="49"/>
      <c r="H39" s="8">
        <f>H37-H38</f>
        <v>0</v>
      </c>
    </row>
    <row r="41" spans="1:8" x14ac:dyDescent="0.25">
      <c r="A41" s="27" t="s">
        <v>20</v>
      </c>
      <c r="B41" s="27"/>
      <c r="C41" s="27"/>
      <c r="D41" s="27"/>
      <c r="E41" s="27"/>
      <c r="F41" s="27"/>
      <c r="G41" s="27"/>
      <c r="H41" s="27"/>
    </row>
    <row r="42" spans="1:8" x14ac:dyDescent="0.25">
      <c r="A42" s="27" t="s">
        <v>9</v>
      </c>
      <c r="B42" s="27"/>
      <c r="C42" s="27"/>
      <c r="D42" s="27"/>
      <c r="E42" s="27"/>
      <c r="F42" s="27"/>
      <c r="G42" s="27"/>
      <c r="H42" s="27"/>
    </row>
  </sheetData>
  <sheetProtection password="EB32" sheet="1" selectLockedCells="1"/>
  <mergeCells count="20">
    <mergeCell ref="A1:H1"/>
    <mergeCell ref="A22:H22"/>
    <mergeCell ref="A41:H41"/>
    <mergeCell ref="F32:G32"/>
    <mergeCell ref="F33:G33"/>
    <mergeCell ref="I19:J19"/>
    <mergeCell ref="E37:F37"/>
    <mergeCell ref="E38:F38"/>
    <mergeCell ref="E39:F39"/>
    <mergeCell ref="F31:G31"/>
    <mergeCell ref="A42:H42"/>
    <mergeCell ref="A29:H29"/>
    <mergeCell ref="I20:J21"/>
    <mergeCell ref="A8:H8"/>
    <mergeCell ref="A19:G19"/>
    <mergeCell ref="A20:G20"/>
    <mergeCell ref="A35:G36"/>
    <mergeCell ref="A12:G12"/>
    <mergeCell ref="A24:F24"/>
    <mergeCell ref="A32:E32"/>
  </mergeCells>
  <phoneticPr fontId="4" type="noConversion"/>
  <dataValidations count="1">
    <dataValidation type="list" allowBlank="1" showInputMessage="1" showErrorMessage="1" error="A valid Staff Type must be selected from the list." prompt="A valid Staff Type must be selected_x000a_ from the list" sqref="H13">
      <formula1>StaffTypes</formula1>
    </dataValidation>
  </dataValidations>
  <pageMargins left="0.75" right="0.75" top="0.68" bottom="0.62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83"/>
  <sheetViews>
    <sheetView workbookViewId="0">
      <selection activeCell="G39" sqref="G39"/>
    </sheetView>
  </sheetViews>
  <sheetFormatPr defaultRowHeight="13.2" x14ac:dyDescent="0.25"/>
  <cols>
    <col min="1" max="1" width="18.109375" customWidth="1"/>
    <col min="2" max="2" width="4.5546875" customWidth="1"/>
    <col min="3" max="3" width="27.109375" customWidth="1"/>
    <col min="4" max="4" width="21.44140625" customWidth="1"/>
    <col min="5" max="5" width="23.88671875" customWidth="1"/>
    <col min="6" max="6" width="10.109375" bestFit="1" customWidth="1"/>
    <col min="7" max="7" width="11.109375" bestFit="1" customWidth="1"/>
  </cols>
  <sheetData>
    <row r="1" spans="1:7" x14ac:dyDescent="0.25">
      <c r="A1" t="s">
        <v>24</v>
      </c>
      <c r="B1" t="s">
        <v>21</v>
      </c>
      <c r="C1" t="s">
        <v>30</v>
      </c>
      <c r="D1" s="12">
        <f>+Estimate!H14</f>
        <v>36526</v>
      </c>
    </row>
    <row r="2" spans="1:7" x14ac:dyDescent="0.25">
      <c r="A2" t="s">
        <v>26</v>
      </c>
      <c r="B2" t="s">
        <v>22</v>
      </c>
      <c r="C2" t="s">
        <v>31</v>
      </c>
      <c r="D2" s="12">
        <f>+Estimate!H15</f>
        <v>40179</v>
      </c>
    </row>
    <row r="3" spans="1:7" x14ac:dyDescent="0.25">
      <c r="A3" t="s">
        <v>25</v>
      </c>
      <c r="B3" t="s">
        <v>23</v>
      </c>
      <c r="C3" t="s">
        <v>32</v>
      </c>
      <c r="D3" s="12">
        <f>+Estimate!H16</f>
        <v>41621</v>
      </c>
    </row>
    <row r="4" spans="1:7" x14ac:dyDescent="0.25">
      <c r="C4" t="s">
        <v>33</v>
      </c>
      <c r="D4" s="11">
        <f>+Estimate!H17</f>
        <v>0</v>
      </c>
    </row>
    <row r="5" spans="1:7" x14ac:dyDescent="0.25">
      <c r="C5" t="s">
        <v>34</v>
      </c>
      <c r="D5" s="9">
        <f>+Estimate!H18</f>
        <v>0</v>
      </c>
      <c r="F5" s="26">
        <v>22098</v>
      </c>
      <c r="G5">
        <v>55</v>
      </c>
    </row>
    <row r="6" spans="1:7" x14ac:dyDescent="0.25">
      <c r="C6" t="s">
        <v>35</v>
      </c>
      <c r="D6" s="10">
        <f>+Estimate!H19</f>
        <v>0</v>
      </c>
      <c r="F6" s="26">
        <v>22462</v>
      </c>
      <c r="G6">
        <v>56</v>
      </c>
    </row>
    <row r="7" spans="1:7" x14ac:dyDescent="0.25">
      <c r="C7" t="s">
        <v>36</v>
      </c>
      <c r="D7" s="10">
        <f>+Estimate!H20</f>
        <v>0</v>
      </c>
      <c r="F7" s="26">
        <v>22827</v>
      </c>
      <c r="G7">
        <v>57</v>
      </c>
    </row>
    <row r="8" spans="1:7" x14ac:dyDescent="0.25">
      <c r="F8" s="26">
        <v>23192</v>
      </c>
      <c r="G8">
        <v>58</v>
      </c>
    </row>
    <row r="9" spans="1:7" x14ac:dyDescent="0.25">
      <c r="C9" t="s">
        <v>37</v>
      </c>
      <c r="D9">
        <f>DATEDIF(D2,D3+1,"y")</f>
        <v>3</v>
      </c>
      <c r="F9" s="26">
        <v>23558</v>
      </c>
      <c r="G9">
        <v>59</v>
      </c>
    </row>
    <row r="10" spans="1:7" x14ac:dyDescent="0.25">
      <c r="C10" t="s">
        <v>38</v>
      </c>
      <c r="D10">
        <f>DATEDIF(D2,D3+1,"ym")</f>
        <v>11</v>
      </c>
      <c r="F10" s="26">
        <v>38169</v>
      </c>
      <c r="G10">
        <v>60</v>
      </c>
    </row>
    <row r="11" spans="1:7" x14ac:dyDescent="0.25">
      <c r="C11" t="s">
        <v>39</v>
      </c>
      <c r="D11">
        <f>DATEDIF(D2,D3+1,"md")</f>
        <v>13</v>
      </c>
    </row>
    <row r="13" spans="1:7" x14ac:dyDescent="0.25">
      <c r="C13" t="s">
        <v>74</v>
      </c>
      <c r="D13">
        <f>ROUND(+D9+(D10/12),4)</f>
        <v>3.9167000000000001</v>
      </c>
    </row>
    <row r="15" spans="1:7" x14ac:dyDescent="0.25">
      <c r="C15" t="s">
        <v>70</v>
      </c>
      <c r="D15">
        <f>YEAR(D3)</f>
        <v>2013</v>
      </c>
    </row>
    <row r="16" spans="1:7" x14ac:dyDescent="0.25">
      <c r="C16" t="s">
        <v>69</v>
      </c>
      <c r="D16" s="10">
        <f>DATE(YEAR(D3),12,31)-DATE(YEAR(D3),1,1)+1</f>
        <v>365</v>
      </c>
    </row>
    <row r="18" spans="3:5" x14ac:dyDescent="0.25">
      <c r="C18" t="s">
        <v>68</v>
      </c>
      <c r="D18" s="10">
        <f>(+D3-D2+1)/365.25*6.5*D5</f>
        <v>0</v>
      </c>
    </row>
    <row r="20" spans="3:5" x14ac:dyDescent="0.25">
      <c r="C20" t="s">
        <v>58</v>
      </c>
      <c r="D20">
        <f>DATEDIF(D1,D3+1,"y")</f>
        <v>13</v>
      </c>
    </row>
    <row r="21" spans="3:5" x14ac:dyDescent="0.25">
      <c r="C21" t="s">
        <v>59</v>
      </c>
      <c r="D21">
        <f>DATEDIF(D1,D3+1,"ym")</f>
        <v>11</v>
      </c>
    </row>
    <row r="22" spans="3:5" x14ac:dyDescent="0.25">
      <c r="C22" t="s">
        <v>60</v>
      </c>
      <c r="D22">
        <f>DATEDIF(D1,D3+1,"md")</f>
        <v>13</v>
      </c>
    </row>
    <row r="24" spans="3:5" x14ac:dyDescent="0.25">
      <c r="C24" t="s">
        <v>45</v>
      </c>
      <c r="D24" s="24">
        <f>IF(D9&gt;10,10,D13)</f>
        <v>3.9167000000000001</v>
      </c>
    </row>
    <row r="25" spans="3:5" x14ac:dyDescent="0.25">
      <c r="C25" t="s">
        <v>46</v>
      </c>
      <c r="D25" s="24">
        <f>ROUND(IF(D24=D13,0,D13-D24),4)</f>
        <v>0</v>
      </c>
    </row>
    <row r="29" spans="3:5" x14ac:dyDescent="0.25">
      <c r="C29" t="s">
        <v>27</v>
      </c>
      <c r="D29" t="s">
        <v>28</v>
      </c>
      <c r="E29" t="s">
        <v>29</v>
      </c>
    </row>
    <row r="31" spans="3:5" x14ac:dyDescent="0.25">
      <c r="C31" t="str">
        <f>IF(Estimate!H13='Data and Calcs'!A1,"OK","NO")</f>
        <v>NO</v>
      </c>
      <c r="D31" t="str">
        <f>IF(A3=Estimate!H13,"OK","NO")</f>
        <v>NO</v>
      </c>
      <c r="E31" t="str">
        <f>IF(A2=Estimate!H13,"OK","NO")</f>
        <v>OK</v>
      </c>
    </row>
    <row r="33" spans="1:5" x14ac:dyDescent="0.25">
      <c r="A33" t="s">
        <v>40</v>
      </c>
      <c r="C33" s="11">
        <v>0</v>
      </c>
      <c r="D33" s="11">
        <v>0</v>
      </c>
      <c r="E33" s="11">
        <v>0</v>
      </c>
    </row>
    <row r="35" spans="1:5" x14ac:dyDescent="0.25">
      <c r="A35" t="s">
        <v>41</v>
      </c>
      <c r="C35" s="16">
        <f>ROUND(IF(C31="NO",0,C33*D5),2)</f>
        <v>0</v>
      </c>
      <c r="D35" s="16">
        <f>ROUND(IF(D31="NO",0,D33*D5),2)</f>
        <v>0</v>
      </c>
      <c r="E35" s="16">
        <f>ROUND(IF(E31="NO",0,E33*D5),2)</f>
        <v>0</v>
      </c>
    </row>
    <row r="37" spans="1:5" x14ac:dyDescent="0.25">
      <c r="A37" t="s">
        <v>43</v>
      </c>
      <c r="C37">
        <v>4</v>
      </c>
      <c r="D37">
        <v>3</v>
      </c>
      <c r="E37">
        <v>2</v>
      </c>
    </row>
    <row r="38" spans="1:5" x14ac:dyDescent="0.25">
      <c r="A38" t="s">
        <v>44</v>
      </c>
      <c r="C38">
        <v>2</v>
      </c>
      <c r="D38">
        <v>2</v>
      </c>
      <c r="E38">
        <v>0</v>
      </c>
    </row>
    <row r="40" spans="1:5" x14ac:dyDescent="0.25">
      <c r="A40" t="s">
        <v>42</v>
      </c>
      <c r="C40">
        <v>52</v>
      </c>
      <c r="D40">
        <v>74</v>
      </c>
      <c r="E40">
        <v>20</v>
      </c>
    </row>
    <row r="42" spans="1:5" x14ac:dyDescent="0.25">
      <c r="A42" t="s">
        <v>47</v>
      </c>
      <c r="C42" s="24">
        <f>IF(C31="NO",0,(C37*$D$24))</f>
        <v>0</v>
      </c>
      <c r="D42" s="24">
        <f>IF(D31="NO",0,(D37*$D$24))</f>
        <v>0</v>
      </c>
      <c r="E42" s="24">
        <f>IF(E31="NO",0,(E37*$D$24))</f>
        <v>7.8334000000000001</v>
      </c>
    </row>
    <row r="43" spans="1:5" x14ac:dyDescent="0.25">
      <c r="A43" t="s">
        <v>48</v>
      </c>
      <c r="C43" s="24">
        <f>IF(C31="NO",0,C38*$D$25)</f>
        <v>0</v>
      </c>
      <c r="D43" s="24">
        <f>IF(D31="NO",0,D38*$D$25)</f>
        <v>0</v>
      </c>
      <c r="E43" s="24">
        <f>IF(E31="NO",0,E38*$D$25)</f>
        <v>0</v>
      </c>
    </row>
    <row r="44" spans="1:5" x14ac:dyDescent="0.25">
      <c r="A44" t="s">
        <v>49</v>
      </c>
      <c r="C44">
        <f>SUM(C42:C43)</f>
        <v>0</v>
      </c>
      <c r="D44">
        <f>SUM(D42:D43)</f>
        <v>0</v>
      </c>
      <c r="E44">
        <f>SUM(E42:E43)</f>
        <v>7.8334000000000001</v>
      </c>
    </row>
    <row r="45" spans="1:5" x14ac:dyDescent="0.25">
      <c r="A45" t="s">
        <v>50</v>
      </c>
      <c r="C45">
        <f>IF(C31="NO",0,IF(C44&gt;C40,C40,C44))</f>
        <v>0</v>
      </c>
      <c r="D45">
        <f>IF(D31="NO",0,IF(D44&gt;D40,D40,D44))</f>
        <v>0</v>
      </c>
      <c r="E45">
        <f>IF(E31="NO",0,IF(E44&gt;E40,E40,E44))</f>
        <v>7.8334000000000001</v>
      </c>
    </row>
    <row r="47" spans="1:5" x14ac:dyDescent="0.25">
      <c r="A47" t="s">
        <v>51</v>
      </c>
      <c r="C47" s="16">
        <f>ROUND(+$D$4/365.25*C45*7*$D$5,2)</f>
        <v>0</v>
      </c>
      <c r="D47" s="16">
        <f>ROUND(+$D$4/365.25*D45*7*$D$5,2)</f>
        <v>0</v>
      </c>
      <c r="E47" s="16">
        <f>ROUND(+$D$4/365.25*E45*7*$D$5,2)</f>
        <v>0</v>
      </c>
    </row>
    <row r="48" spans="1:5" x14ac:dyDescent="0.25">
      <c r="A48" t="s">
        <v>73</v>
      </c>
      <c r="C48" s="13">
        <f>+C47+C35</f>
        <v>0</v>
      </c>
      <c r="D48" s="13">
        <f>+D47+D35</f>
        <v>0</v>
      </c>
      <c r="E48" s="13">
        <f>+E47+E35</f>
        <v>0</v>
      </c>
    </row>
    <row r="50" spans="1:7" x14ac:dyDescent="0.25">
      <c r="A50" t="s">
        <v>52</v>
      </c>
    </row>
    <row r="51" spans="1:7" x14ac:dyDescent="0.25">
      <c r="A51" t="s">
        <v>53</v>
      </c>
      <c r="C51" s="13">
        <v>9246</v>
      </c>
      <c r="D51" s="13">
        <v>9246</v>
      </c>
      <c r="E51" s="13">
        <v>9246</v>
      </c>
    </row>
    <row r="52" spans="1:7" x14ac:dyDescent="0.25">
      <c r="A52" t="s">
        <v>54</v>
      </c>
      <c r="C52" s="13">
        <v>4624</v>
      </c>
      <c r="D52" s="13">
        <v>4624</v>
      </c>
      <c r="E52" s="13">
        <v>4624</v>
      </c>
    </row>
    <row r="54" spans="1:7" x14ac:dyDescent="0.25">
      <c r="A54" t="s">
        <v>56</v>
      </c>
      <c r="C54" s="13">
        <f>IF($D$20&lt;65,IF(C31="NO",0,(C52*$D$9)+C51),0)</f>
        <v>0</v>
      </c>
      <c r="D54" s="13">
        <f>IF($D$20&lt;65,IF(D31="NO",0,(D52*$D$9)+D51),0)</f>
        <v>0</v>
      </c>
      <c r="E54" s="13">
        <f>IF($D$20&lt;65,IF(E31="NO",0,(E52*$D$9)+E51),0)</f>
        <v>23118</v>
      </c>
    </row>
    <row r="56" spans="1:7" x14ac:dyDescent="0.25">
      <c r="A56" t="s">
        <v>55</v>
      </c>
      <c r="C56" s="16">
        <f>IF(C31="NO",0,IF(C54&gt;C48,C48,C54))</f>
        <v>0</v>
      </c>
      <c r="D56" s="16">
        <f>IF(D31="NO",0,IF(D54&gt;D48,D48,D54))</f>
        <v>0</v>
      </c>
      <c r="E56" s="16">
        <f>IF(E31="NO",0,IF(E54&gt;E48,E48,E54))</f>
        <v>0</v>
      </c>
    </row>
    <row r="57" spans="1:7" x14ac:dyDescent="0.25">
      <c r="A57" t="s">
        <v>57</v>
      </c>
      <c r="C57" s="16">
        <f>+C48-C56</f>
        <v>0</v>
      </c>
      <c r="D57" s="16">
        <f>+D48-D56</f>
        <v>0</v>
      </c>
      <c r="E57" s="16">
        <f>+E48-E56</f>
        <v>0</v>
      </c>
    </row>
    <row r="58" spans="1:7" x14ac:dyDescent="0.25">
      <c r="C58" s="13"/>
      <c r="G58" s="13"/>
    </row>
    <row r="59" spans="1:7" x14ac:dyDescent="0.25">
      <c r="A59" t="s">
        <v>80</v>
      </c>
      <c r="C59">
        <f>IF(D1&lt;F5,G5,IF(D1&lt;F6,G6,IF(D1&lt;F7,G7,IF(D1&lt;F8,G8,IF(D1&lt;F9,G9,G10)))))</f>
        <v>60</v>
      </c>
      <c r="D59">
        <f>IF(D1&lt;F5,G5,IF(D1&lt;F6,G6,IF(D1&lt;F7,G7,IF(D1&lt;F8,G8,IF(D1&lt;F9,G9,G10)))))</f>
        <v>60</v>
      </c>
      <c r="E59">
        <f>IF(D1&lt;F5,G5,IF(D1&lt;F6,G6,IF(D1&lt;F7,G7,IF(D1&lt;F8,G8,IF(D1&lt;F9,G9,G10)))))</f>
        <v>60</v>
      </c>
      <c r="G59" s="13"/>
    </row>
    <row r="60" spans="1:7" x14ac:dyDescent="0.25">
      <c r="C60" s="13"/>
      <c r="G60" s="13"/>
    </row>
    <row r="61" spans="1:7" x14ac:dyDescent="0.25">
      <c r="A61" t="s">
        <v>81</v>
      </c>
      <c r="C61" s="9">
        <v>0.315</v>
      </c>
      <c r="D61" s="9">
        <v>0.315</v>
      </c>
      <c r="E61" s="9">
        <v>0.315</v>
      </c>
    </row>
    <row r="62" spans="1:7" x14ac:dyDescent="0.25">
      <c r="A62" t="s">
        <v>82</v>
      </c>
      <c r="C62" s="9">
        <v>0.16500000000000001</v>
      </c>
      <c r="D62" s="9">
        <v>0.16500000000000001</v>
      </c>
      <c r="E62" s="9">
        <v>0.16500000000000001</v>
      </c>
    </row>
    <row r="63" spans="1:7" x14ac:dyDescent="0.25">
      <c r="C63" s="9"/>
      <c r="D63" s="9"/>
      <c r="E63" s="9"/>
    </row>
    <row r="65" spans="1:5" x14ac:dyDescent="0.25">
      <c r="A65" t="s">
        <v>79</v>
      </c>
      <c r="C65" s="9">
        <f>IF(C31="NO",0,IF($D20&lt;C59,C61,C62))</f>
        <v>0</v>
      </c>
      <c r="D65" s="9">
        <f>IF(D31="NO",0,IF($D20&lt;D59,D61,D62))</f>
        <v>0</v>
      </c>
      <c r="E65" s="9">
        <f>IF(E31="NO",0,IF($D20&lt;E59,E61,E62))</f>
        <v>0.315</v>
      </c>
    </row>
    <row r="67" spans="1:5" x14ac:dyDescent="0.25">
      <c r="A67" t="s">
        <v>61</v>
      </c>
      <c r="C67" s="9">
        <f>IF(C31="NO",0,C65)</f>
        <v>0</v>
      </c>
      <c r="D67" s="9">
        <f>IF(D31="NO",0,D65)</f>
        <v>0</v>
      </c>
      <c r="E67" s="9">
        <f>IF(E31="NO",0,E65)</f>
        <v>0.315</v>
      </c>
    </row>
    <row r="69" spans="1:5" x14ac:dyDescent="0.25">
      <c r="A69" t="s">
        <v>62</v>
      </c>
      <c r="C69" s="14">
        <f>IF($D$3&gt;DATE(2012,6,30),175000,165000)</f>
        <v>175000</v>
      </c>
      <c r="D69" s="14">
        <f>IF($D$3&gt;DATE(2012,6,30),175000,165000)</f>
        <v>175000</v>
      </c>
      <c r="E69" s="14">
        <f>IF($D$3&gt;DATE(2012,6,30),175000,165000)</f>
        <v>175000</v>
      </c>
    </row>
    <row r="70" spans="1:5" x14ac:dyDescent="0.25">
      <c r="A70" t="s">
        <v>63</v>
      </c>
      <c r="C70" s="9">
        <v>0.46500000000000002</v>
      </c>
      <c r="D70" s="9">
        <v>0.46500000000000002</v>
      </c>
      <c r="E70" s="9">
        <v>0.46500000000000002</v>
      </c>
    </row>
    <row r="72" spans="1:5" x14ac:dyDescent="0.25">
      <c r="A72" t="s">
        <v>64</v>
      </c>
      <c r="C72" s="14">
        <f>IF(C31="NO",0,IF(+C57-C69&lt;0,0,+C57-C69))</f>
        <v>0</v>
      </c>
      <c r="D72" s="14">
        <f>IF(D31="NO",0,IF(+D57-D69&lt;0,0,+D57-D69))</f>
        <v>0</v>
      </c>
      <c r="E72" s="14">
        <f>IF(E31="NO",0,IF(+E57-E69&lt;0,0,+E57-E69))</f>
        <v>0</v>
      </c>
    </row>
    <row r="73" spans="1:5" x14ac:dyDescent="0.25">
      <c r="C73" s="14"/>
      <c r="D73" s="14"/>
      <c r="E73" s="14"/>
    </row>
    <row r="74" spans="1:5" x14ac:dyDescent="0.25">
      <c r="A74" t="s">
        <v>66</v>
      </c>
      <c r="C74" s="14">
        <f>IF(C75=0,IF(C31="NO",0,+C67*C57),0)</f>
        <v>0</v>
      </c>
      <c r="D74" s="14">
        <f>IF(D75=0,IF(D31="NO",0,+D67*D57),0)</f>
        <v>0</v>
      </c>
      <c r="E74" s="14">
        <f>IF(E75=0,IF(E31="NO",0,+E67*E57),0)</f>
        <v>0</v>
      </c>
    </row>
    <row r="75" spans="1:5" x14ac:dyDescent="0.25">
      <c r="A75" t="s">
        <v>65</v>
      </c>
      <c r="C75" s="13">
        <f>+C72*C70</f>
        <v>0</v>
      </c>
      <c r="D75" s="13">
        <f>+D72*D70</f>
        <v>0</v>
      </c>
      <c r="E75" s="13">
        <f>+E72*E70</f>
        <v>0</v>
      </c>
    </row>
    <row r="76" spans="1:5" x14ac:dyDescent="0.25">
      <c r="A76" t="s">
        <v>67</v>
      </c>
      <c r="C76" s="15">
        <f>SUM(C74:C75)</f>
        <v>0</v>
      </c>
      <c r="D76" s="15">
        <f>SUM(D74:D75)</f>
        <v>0</v>
      </c>
      <c r="E76" s="15">
        <f>SUM(E74:E75)</f>
        <v>0</v>
      </c>
    </row>
    <row r="78" spans="1:5" x14ac:dyDescent="0.25">
      <c r="A78" t="s">
        <v>71</v>
      </c>
      <c r="C78" s="10">
        <v>73.5</v>
      </c>
      <c r="D78" s="10">
        <v>76</v>
      </c>
      <c r="E78" s="10">
        <v>76</v>
      </c>
    </row>
    <row r="80" spans="1:5" x14ac:dyDescent="0.25">
      <c r="A80" t="s">
        <v>72</v>
      </c>
      <c r="C80" s="16">
        <f>ROUND(IF(C31="NO",0,$D$4/365.25*14/C78*$D$6),2)</f>
        <v>0</v>
      </c>
      <c r="D80" s="16">
        <f>ROUND(IF(D31="NO",0,$D$4/365.25*14/D78*$D$6),2)</f>
        <v>0</v>
      </c>
      <c r="E80" s="16">
        <f>ROUND(IF(E31="NO",0,$D$4/365.25*14/E78*$D$6),2)</f>
        <v>0</v>
      </c>
    </row>
    <row r="82" spans="3:5" x14ac:dyDescent="0.25">
      <c r="C82" s="10"/>
    </row>
    <row r="83" spans="3:5" x14ac:dyDescent="0.25">
      <c r="C83">
        <f>IF(C31="NO",0,ROUND(+C78*2/365.25*7*$D$5,4))</f>
        <v>0</v>
      </c>
      <c r="D83">
        <f>IF(D31="NO",0,ROUND(+D78*2/365.25*7*$D$5,4))</f>
        <v>0</v>
      </c>
      <c r="E83">
        <f>IF(E31="NO",0,ROUND(+E78*2/365.25*7*$D$5,4))</f>
        <v>0</v>
      </c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68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Estimate</vt:lpstr>
      <vt:lpstr>Data and Calcs</vt:lpstr>
      <vt:lpstr>Estimate!Print_Area</vt:lpstr>
      <vt:lpstr>StaffTypes</vt:lpstr>
    </vt:vector>
  </TitlesOfParts>
  <Company>University of Ballarat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University of Ballarat</dc:creator>
  <cp:lastModifiedBy>University of Ballarat</cp:lastModifiedBy>
  <cp:lastPrinted>2013-08-20T06:27:46Z</cp:lastPrinted>
  <dcterms:created xsi:type="dcterms:W3CDTF">2010-04-28T06:21:20Z</dcterms:created>
  <dcterms:modified xsi:type="dcterms:W3CDTF">2013-08-20T06:53:31Z</dcterms:modified>
</cp:coreProperties>
</file>