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uman Resources\Deborah Shelley Shared Folder\Uni Restructures\2016 VERS\"/>
    </mc:Choice>
  </mc:AlternateContent>
  <workbookProtection workbookAlgorithmName="SHA-512" workbookHashValue="qfC8TH1opheb8rVV/2ArjS7E/WOBxVyQw4fr4yZgd0K7lw55W31VgKDvvYZvd5meE6sM26zJGu0aRntFYbYPbg==" workbookSaltValue="GGjzOKDYdkJ1CkT/kVtiog==" workbookSpinCount="100000" lockStructure="1"/>
  <bookViews>
    <workbookView xWindow="120" yWindow="60" windowWidth="19320" windowHeight="13035"/>
  </bookViews>
  <sheets>
    <sheet name="Estimate" sheetId="1" r:id="rId1"/>
    <sheet name="Data and Calcs" sheetId="2" state="hidden" r:id="rId2"/>
  </sheets>
  <definedNames>
    <definedName name="_xlnm.Print_Area" localSheetId="0">Estimate!$A$1:$H$39</definedName>
    <definedName name="StaffTypes">'Data and Calcs'!$A$1:$A$3</definedName>
    <definedName name="Type">'Data and Calcs'!$A$5:$A$6</definedName>
  </definedNames>
  <calcPr calcId="162913"/>
</workbook>
</file>

<file path=xl/calcChain.xml><?xml version="1.0" encoding="utf-8"?>
<calcChain xmlns="http://schemas.openxmlformats.org/spreadsheetml/2006/main">
  <c r="D41" i="2" l="1"/>
  <c r="D54" i="2" l="1"/>
  <c r="E54" i="2" s="1"/>
  <c r="D53" i="2"/>
  <c r="E53" i="2" s="1"/>
  <c r="C41" i="2" l="1"/>
  <c r="E32" i="2" l="1"/>
  <c r="D32" i="2"/>
  <c r="C32" i="2"/>
  <c r="E34" i="2" l="1"/>
  <c r="D31" i="2"/>
  <c r="D82" i="2" s="1"/>
  <c r="H23" i="1"/>
  <c r="D6" i="2"/>
  <c r="D4" i="2"/>
  <c r="D2" i="2"/>
  <c r="D7" i="2"/>
  <c r="D5" i="2"/>
  <c r="D3" i="2"/>
  <c r="D1" i="2"/>
  <c r="E61" i="2" s="1"/>
  <c r="E31" i="2"/>
  <c r="C31" i="2"/>
  <c r="D15" i="2" l="1"/>
  <c r="D11" i="2"/>
  <c r="E82" i="2"/>
  <c r="C82" i="2"/>
  <c r="D22" i="2"/>
  <c r="D61" i="2"/>
  <c r="C61" i="2"/>
  <c r="E36" i="2"/>
  <c r="C85" i="2"/>
  <c r="D85" i="2"/>
  <c r="C36" i="2"/>
  <c r="E85" i="2"/>
  <c r="D9" i="2"/>
  <c r="D18" i="2"/>
  <c r="I17" i="1" s="1"/>
  <c r="D10" i="2"/>
  <c r="D21" i="2"/>
  <c r="D36" i="2"/>
  <c r="D16" i="2"/>
  <c r="D20" i="2"/>
  <c r="D67" i="2" l="1"/>
  <c r="D69" i="2" s="1"/>
  <c r="E41" i="2"/>
  <c r="H22" i="1"/>
  <c r="H31" i="1" s="1"/>
  <c r="H24" i="1"/>
  <c r="E67" i="2"/>
  <c r="E69" i="2" s="1"/>
  <c r="I16" i="1"/>
  <c r="D13" i="2"/>
  <c r="E56" i="2"/>
  <c r="C67" i="2"/>
  <c r="C69" i="2" s="1"/>
  <c r="C56" i="2"/>
  <c r="D56" i="2"/>
  <c r="D24" i="2" l="1"/>
  <c r="E43" i="2" s="1"/>
  <c r="D43" i="2" l="1"/>
  <c r="C43" i="2"/>
  <c r="D25" i="2"/>
  <c r="E45" i="2" s="1"/>
  <c r="E46" i="2" s="1"/>
  <c r="E47" i="2" s="1"/>
  <c r="E49" i="2" s="1"/>
  <c r="E50" i="2" s="1"/>
  <c r="E58" i="2" l="1"/>
  <c r="E59" i="2" s="1"/>
  <c r="E74" i="2" s="1"/>
  <c r="E77" i="2" s="1"/>
  <c r="E76" i="2" s="1"/>
  <c r="E78" i="2" s="1"/>
  <c r="D45" i="2"/>
  <c r="D46" i="2" s="1"/>
  <c r="D47" i="2" s="1"/>
  <c r="D49" i="2" s="1"/>
  <c r="D50" i="2" s="1"/>
  <c r="D58" i="2" s="1"/>
  <c r="C45" i="2"/>
  <c r="C46" i="2" s="1"/>
  <c r="C47" i="2" s="1"/>
  <c r="C49" i="2" s="1"/>
  <c r="C50" i="2" s="1"/>
  <c r="C58" i="2" s="1"/>
  <c r="F29" i="1" l="1"/>
  <c r="H21" i="1"/>
  <c r="H34" i="1" s="1"/>
  <c r="D59" i="2"/>
  <c r="D74" i="2" s="1"/>
  <c r="D77" i="2" s="1"/>
  <c r="D76" i="2" s="1"/>
  <c r="D78" i="2" s="1"/>
  <c r="C59" i="2"/>
  <c r="F30" i="1" l="1"/>
  <c r="C74" i="2"/>
  <c r="C77" i="2" s="1"/>
  <c r="C76" i="2" s="1"/>
  <c r="C78" i="2" s="1"/>
  <c r="H30" i="1" s="1"/>
  <c r="H35" i="1" s="1"/>
  <c r="H36" i="1" s="1"/>
</calcChain>
</file>

<file path=xl/sharedStrings.xml><?xml version="1.0" encoding="utf-8"?>
<sst xmlns="http://schemas.openxmlformats.org/spreadsheetml/2006/main" count="99" uniqueCount="97">
  <si>
    <t>Accrued Annual Leave $</t>
  </si>
  <si>
    <t>Accrued Long Service Leave $</t>
  </si>
  <si>
    <t>Box A</t>
  </si>
  <si>
    <t>Box B</t>
  </si>
  <si>
    <t>Box C</t>
  </si>
  <si>
    <t>FIGURES MAY CHANGE ON ANY FINAL CALCULATIONS/PAYMENT</t>
  </si>
  <si>
    <t xml:space="preserve"> = Boxes which must be completed by staff member</t>
  </si>
  <si>
    <t>Tax Amount</t>
  </si>
  <si>
    <t>Total Gross Amount</t>
  </si>
  <si>
    <t>Less Tax</t>
  </si>
  <si>
    <t>NETT AMOUNT</t>
  </si>
  <si>
    <t xml:space="preserve">Accrued Leave Tax Amount </t>
  </si>
  <si>
    <t>PLEASE BE ADVISED THIS IS AN ESTIMATION ONLY</t>
  </si>
  <si>
    <t>G</t>
  </si>
  <si>
    <t>A</t>
  </si>
  <si>
    <t>T</t>
  </si>
  <si>
    <t>General Staff</t>
  </si>
  <si>
    <t>Academic Staff</t>
  </si>
  <si>
    <t>TAFE Teacher</t>
  </si>
  <si>
    <t>General Staff Calc</t>
  </si>
  <si>
    <t>Academic Staff Calc</t>
  </si>
  <si>
    <t>TAFE Teacher Calc</t>
  </si>
  <si>
    <t>DOB</t>
  </si>
  <si>
    <t>DOC</t>
  </si>
  <si>
    <t>DOD</t>
  </si>
  <si>
    <t>Salary</t>
  </si>
  <si>
    <t>Fraction</t>
  </si>
  <si>
    <t>Annual Leave hours</t>
  </si>
  <si>
    <t>LSL Days</t>
  </si>
  <si>
    <t>Completed Years</t>
  </si>
  <si>
    <t>Completed Months</t>
  </si>
  <si>
    <t>Completed Days</t>
  </si>
  <si>
    <t>Incentive Lump</t>
  </si>
  <si>
    <t>Incentive Calc</t>
  </si>
  <si>
    <t>Max Red. Weeks</t>
  </si>
  <si>
    <t>Red Wks first 10</t>
  </si>
  <si>
    <t>Red Wks after 10</t>
  </si>
  <si>
    <t>First 10 years</t>
  </si>
  <si>
    <t>Balance after 10 years</t>
  </si>
  <si>
    <t>Calcd Red Weeks 10</t>
  </si>
  <si>
    <t>Calcd Red Weeks after 10</t>
  </si>
  <si>
    <t>Total Calcd Weeks</t>
  </si>
  <si>
    <t>Total Weeks for Calc</t>
  </si>
  <si>
    <t>Vol Red Benefit</t>
  </si>
  <si>
    <t>VRB Tax Component</t>
  </si>
  <si>
    <t xml:space="preserve">   Base Limit</t>
  </si>
  <si>
    <t xml:space="preserve">   Each Compl Yr</t>
  </si>
  <si>
    <t>Tax Free Amount</t>
  </si>
  <si>
    <t>Tax Free Calc</t>
  </si>
  <si>
    <t>Taxable Amount</t>
  </si>
  <si>
    <t>Age Years</t>
  </si>
  <si>
    <t>Age Months</t>
  </si>
  <si>
    <t>Age Days</t>
  </si>
  <si>
    <t>VRB applicable Tax Rate</t>
  </si>
  <si>
    <t>CAP Amount</t>
  </si>
  <si>
    <t>Excess Rate</t>
  </si>
  <si>
    <t>Excess above cap</t>
  </si>
  <si>
    <t>CAP Tax</t>
  </si>
  <si>
    <t>VRB Tax</t>
  </si>
  <si>
    <t>Total VRB Tax</t>
  </si>
  <si>
    <t>LSL Days Calc</t>
  </si>
  <si>
    <t>Total Days in completed year</t>
  </si>
  <si>
    <t>Completed Year</t>
  </si>
  <si>
    <t>Hours per fortnight</t>
  </si>
  <si>
    <t>Annual Leave $ Calc</t>
  </si>
  <si>
    <t>Total Red Benefit</t>
  </si>
  <si>
    <t>Completed Years Total</t>
  </si>
  <si>
    <t>Tax Rate to Apply</t>
  </si>
  <si>
    <t>Preservation Age</t>
  </si>
  <si>
    <t>Tax Rate Under Presv Age</t>
  </si>
  <si>
    <t>Tax Rate Over Presv Age</t>
  </si>
  <si>
    <t>Current Time Fraction (eg. full-time = 100%, part-time = 80%, 60% etc)</t>
  </si>
  <si>
    <t>Notice Period</t>
  </si>
  <si>
    <r>
      <t>General, Academic or TAFE Teacher</t>
    </r>
    <r>
      <rPr>
        <b/>
        <i/>
        <sz val="10"/>
        <rFont val="Arial"/>
        <family val="2"/>
      </rPr>
      <t xml:space="preserve"> (please select)</t>
    </r>
  </si>
  <si>
    <t>Date of Birth, e.g. 13/09/1956</t>
  </si>
  <si>
    <t>Date of Commencement, e.g. 12/10/1985</t>
  </si>
  <si>
    <t>Annual Salary (full-time), e.g. $50,000 p.a.</t>
  </si>
  <si>
    <t>Anticipated Date of Departure, e.g. 01/01/2015</t>
  </si>
  <si>
    <t>(Please note that tax on leave entitlements is an estimate only and based on 32% as a general guide)</t>
  </si>
  <si>
    <t>Instructions</t>
  </si>
  <si>
    <t>Personal Details</t>
  </si>
  <si>
    <r>
      <t xml:space="preserve">Long Service Leave Balance in Days
</t>
    </r>
    <r>
      <rPr>
        <b/>
        <i/>
        <sz val="9"/>
        <color rgb="FF006600"/>
        <rFont val="Arial"/>
        <family val="2"/>
      </rPr>
      <t>Note: This figure is only an estimate and may not take into account any long service leave taken, LWOP or fraction changes.</t>
    </r>
  </si>
  <si>
    <t>Voluntary</t>
  </si>
  <si>
    <t>Targeted</t>
  </si>
  <si>
    <t>Voluntary/Targeted</t>
  </si>
  <si>
    <r>
      <t>Voluntary / Targeted</t>
    </r>
    <r>
      <rPr>
        <b/>
        <i/>
        <sz val="10"/>
        <rFont val="Arial"/>
        <family val="2"/>
      </rPr>
      <t xml:space="preserve"> (please select)</t>
    </r>
  </si>
  <si>
    <t>Option Payments</t>
  </si>
  <si>
    <t>Taxation</t>
  </si>
  <si>
    <t>SP Breakup</t>
  </si>
  <si>
    <r>
      <t xml:space="preserve">Tax Free Component
</t>
    </r>
    <r>
      <rPr>
        <i/>
        <sz val="9"/>
        <rFont val="Arial"/>
        <family val="2"/>
      </rPr>
      <t>Note: LWOP may reduce this Tax Free Component</t>
    </r>
  </si>
  <si>
    <t>Taxable Component</t>
  </si>
  <si>
    <r>
      <t xml:space="preserve">Option Payment $
</t>
    </r>
    <r>
      <rPr>
        <i/>
        <sz val="9"/>
        <rFont val="Arial"/>
        <family val="2"/>
      </rPr>
      <t>Note: LWOP will not count as service, and may reduce this payment.</t>
    </r>
  </si>
  <si>
    <t>Estimate of Benefits Calculator</t>
  </si>
  <si>
    <t>John Citizen</t>
  </si>
  <si>
    <t>Employee Name</t>
  </si>
  <si>
    <t>Enter your details in the PERSONAL DETAILS section. Once your PERSONAL DETAILS have been entered, the spreadsheet will estimate the payment for you.</t>
  </si>
  <si>
    <r>
      <t xml:space="preserve">Annual Leave Balance in Hours
</t>
    </r>
    <r>
      <rPr>
        <b/>
        <i/>
        <sz val="9"/>
        <color rgb="FF002060"/>
        <rFont val="Arial"/>
        <family val="2"/>
      </rPr>
      <t>(Obtain leave balance from payslip and then add weekly accrual to date of departure.)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</si>
</sst>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[$-C09]dd\-mmm\-yy;@"/>
    <numFmt numFmtId="166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9"/>
      <color rgb="FF006600"/>
      <name val="Arial"/>
      <family val="2"/>
    </font>
    <font>
      <b/>
      <i/>
      <sz val="10"/>
      <color rgb="FF006600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8" fontId="0" fillId="0" borderId="0" xfId="0" applyNumberFormat="1"/>
    <xf numFmtId="166" fontId="0" fillId="0" borderId="0" xfId="0" applyNumberFormat="1"/>
    <xf numFmtId="166" fontId="0" fillId="4" borderId="0" xfId="0" applyNumberFormat="1" applyFill="1"/>
    <xf numFmtId="8" fontId="0" fillId="4" borderId="0" xfId="0" applyNumberFormat="1" applyFill="1"/>
    <xf numFmtId="0" fontId="0" fillId="5" borderId="0" xfId="0" applyFill="1"/>
    <xf numFmtId="14" fontId="0" fillId="0" borderId="0" xfId="0" applyNumberFormat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6" fontId="2" fillId="2" borderId="2" xfId="0" applyNumberFormat="1" applyFont="1" applyFill="1" applyBorder="1" applyAlignment="1" applyProtection="1">
      <alignment horizontal="center" vertical="center"/>
      <protection locked="0"/>
    </xf>
    <xf numFmtId="9" fontId="2" fillId="2" borderId="2" xfId="2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44" fontId="0" fillId="3" borderId="1" xfId="0" applyNumberFormat="1" applyFill="1" applyBorder="1" applyAlignment="1">
      <alignment vertical="center"/>
    </xf>
    <xf numFmtId="44" fontId="0" fillId="3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2" fontId="1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1"/>
  <sheetViews>
    <sheetView tabSelected="1" zoomScale="130" zoomScaleNormal="130" workbookViewId="0">
      <selection activeCell="H8" sqref="H8"/>
    </sheetView>
  </sheetViews>
  <sheetFormatPr defaultRowHeight="12.75" x14ac:dyDescent="0.2"/>
  <cols>
    <col min="6" max="6" width="9.85546875" customWidth="1"/>
    <col min="7" max="7" width="10.140625" customWidth="1"/>
    <col min="8" max="8" width="23.28515625" customWidth="1"/>
    <col min="10" max="10" width="10.85546875" customWidth="1"/>
    <col min="12" max="12" width="18.5703125" customWidth="1"/>
  </cols>
  <sheetData>
    <row r="1" spans="1:13" ht="25.5" customHeight="1" x14ac:dyDescent="0.2">
      <c r="A1" s="61" t="s">
        <v>92</v>
      </c>
      <c r="B1" s="62"/>
      <c r="C1" s="62"/>
      <c r="D1" s="62"/>
      <c r="E1" s="62"/>
      <c r="F1" s="62"/>
      <c r="G1" s="62"/>
      <c r="H1" s="63"/>
      <c r="I1" s="26"/>
      <c r="J1" s="26"/>
      <c r="K1" s="26"/>
      <c r="L1" s="26"/>
      <c r="M1" s="26"/>
    </row>
    <row r="2" spans="1:13" s="11" customFormat="1" ht="24" customHeight="1" x14ac:dyDescent="0.2">
      <c r="A2" s="65" t="s">
        <v>79</v>
      </c>
      <c r="B2" s="65"/>
      <c r="C2" s="65"/>
      <c r="D2" s="65"/>
      <c r="E2" s="65"/>
      <c r="F2" s="65"/>
      <c r="G2" s="65"/>
      <c r="H2" s="65"/>
      <c r="I2" s="26"/>
      <c r="J2" s="26"/>
      <c r="K2" s="26"/>
      <c r="L2" s="26"/>
      <c r="M2" s="26"/>
    </row>
    <row r="3" spans="1:13" s="11" customFormat="1" ht="36" customHeight="1" x14ac:dyDescent="0.2">
      <c r="A3" s="34" t="s">
        <v>95</v>
      </c>
      <c r="B3" s="64"/>
      <c r="C3" s="64"/>
      <c r="D3" s="64"/>
      <c r="E3" s="64"/>
      <c r="F3" s="64"/>
      <c r="G3" s="64"/>
      <c r="H3" s="64"/>
      <c r="I3" s="26"/>
      <c r="J3" s="26"/>
      <c r="K3" s="26"/>
      <c r="L3" s="26"/>
      <c r="M3" s="26"/>
    </row>
    <row r="4" spans="1:13" s="11" customFormat="1" ht="21.75" customHeight="1" x14ac:dyDescent="0.2">
      <c r="A4" s="41" t="s">
        <v>80</v>
      </c>
      <c r="B4" s="42"/>
      <c r="C4" s="42"/>
      <c r="D4" s="42"/>
      <c r="E4" s="42"/>
      <c r="F4" s="42"/>
      <c r="G4" s="42"/>
      <c r="H4" s="43"/>
      <c r="I4" s="26"/>
      <c r="J4" s="26"/>
      <c r="K4" s="26"/>
      <c r="L4" s="26"/>
      <c r="M4" s="26"/>
    </row>
    <row r="5" spans="1:13" s="11" customFormat="1" ht="12.75" customHeight="1" x14ac:dyDescent="0.2">
      <c r="A5" s="54"/>
      <c r="B5" s="54"/>
      <c r="C5" s="54"/>
      <c r="D5" s="54"/>
      <c r="E5" s="54"/>
      <c r="F5" s="54"/>
      <c r="G5" s="54"/>
      <c r="H5" s="54"/>
      <c r="I5" s="26"/>
      <c r="J5" s="26"/>
      <c r="K5" s="26"/>
      <c r="L5" s="26"/>
      <c r="M5" s="26"/>
    </row>
    <row r="6" spans="1:13" s="11" customFormat="1" x14ac:dyDescent="0.2">
      <c r="A6" s="12"/>
      <c r="B6" s="39" t="s">
        <v>6</v>
      </c>
      <c r="C6" s="29"/>
      <c r="D6" s="29"/>
      <c r="E6" s="29"/>
      <c r="F6" s="29"/>
      <c r="G6" s="29"/>
      <c r="H6" s="29"/>
      <c r="I6" s="26"/>
      <c r="J6" s="26"/>
      <c r="K6" s="26"/>
      <c r="L6" s="26"/>
      <c r="M6" s="26"/>
    </row>
    <row r="7" spans="1:13" s="11" customFormat="1" ht="13.5" thickBot="1" x14ac:dyDescent="0.25">
      <c r="A7" s="31"/>
      <c r="B7" s="31"/>
      <c r="C7" s="31"/>
      <c r="D7" s="31"/>
      <c r="E7" s="31"/>
      <c r="F7" s="31"/>
      <c r="G7" s="31"/>
      <c r="H7" s="31"/>
      <c r="I7" s="26"/>
      <c r="J7" s="26"/>
      <c r="K7" s="26"/>
      <c r="L7" s="26"/>
      <c r="M7" s="26"/>
    </row>
    <row r="8" spans="1:13" s="11" customFormat="1" ht="29.25" customHeight="1" thickBot="1" x14ac:dyDescent="0.25">
      <c r="A8" s="45" t="s">
        <v>94</v>
      </c>
      <c r="B8" s="46"/>
      <c r="C8" s="46"/>
      <c r="D8" s="46"/>
      <c r="E8" s="46"/>
      <c r="F8" s="46"/>
      <c r="G8" s="47"/>
      <c r="H8" s="13" t="s">
        <v>93</v>
      </c>
      <c r="I8" s="26"/>
      <c r="J8" s="26"/>
      <c r="K8" s="26"/>
      <c r="L8" s="26"/>
      <c r="M8" s="26"/>
    </row>
    <row r="9" spans="1:13" s="11" customFormat="1" ht="20.25" customHeight="1" thickBot="1" x14ac:dyDescent="0.25">
      <c r="A9" s="27" t="s">
        <v>73</v>
      </c>
      <c r="B9" s="27"/>
      <c r="C9" s="27"/>
      <c r="D9" s="27"/>
      <c r="E9" s="27"/>
      <c r="F9" s="27"/>
      <c r="G9" s="28"/>
      <c r="H9" s="14" t="s">
        <v>16</v>
      </c>
      <c r="I9" s="26"/>
      <c r="J9" s="26"/>
      <c r="K9" s="26"/>
      <c r="L9" s="26"/>
      <c r="M9" s="26"/>
    </row>
    <row r="10" spans="1:13" s="24" customFormat="1" ht="20.25" hidden="1" customHeight="1" thickBot="1" x14ac:dyDescent="0.25">
      <c r="A10" s="52" t="s">
        <v>85</v>
      </c>
      <c r="B10" s="27"/>
      <c r="C10" s="27"/>
      <c r="D10" s="27"/>
      <c r="E10" s="27"/>
      <c r="F10" s="27"/>
      <c r="G10" s="28"/>
      <c r="H10" s="14" t="s">
        <v>82</v>
      </c>
      <c r="I10" s="26"/>
      <c r="J10" s="26"/>
      <c r="K10" s="26"/>
      <c r="L10" s="26"/>
      <c r="M10" s="26"/>
    </row>
    <row r="11" spans="1:13" s="11" customFormat="1" ht="20.25" customHeight="1" thickBot="1" x14ac:dyDescent="0.25">
      <c r="A11" s="29" t="s">
        <v>74</v>
      </c>
      <c r="B11" s="29"/>
      <c r="C11" s="29"/>
      <c r="D11" s="29"/>
      <c r="E11" s="29"/>
      <c r="F11" s="29"/>
      <c r="G11" s="30"/>
      <c r="H11" s="15">
        <v>20210</v>
      </c>
      <c r="I11" s="26"/>
      <c r="J11" s="26"/>
      <c r="K11" s="26"/>
      <c r="L11" s="26"/>
      <c r="M11" s="26"/>
    </row>
    <row r="12" spans="1:13" s="11" customFormat="1" ht="20.25" customHeight="1" thickBot="1" x14ac:dyDescent="0.25">
      <c r="A12" s="27" t="s">
        <v>75</v>
      </c>
      <c r="B12" s="27"/>
      <c r="C12" s="27"/>
      <c r="D12" s="27"/>
      <c r="E12" s="27"/>
      <c r="F12" s="27"/>
      <c r="G12" s="28"/>
      <c r="H12" s="15">
        <v>38159</v>
      </c>
      <c r="I12" s="26"/>
      <c r="J12" s="26"/>
      <c r="K12" s="26"/>
      <c r="L12" s="26"/>
      <c r="M12" s="26"/>
    </row>
    <row r="13" spans="1:13" s="11" customFormat="1" ht="20.25" customHeight="1" thickBot="1" x14ac:dyDescent="0.25">
      <c r="A13" s="27" t="s">
        <v>77</v>
      </c>
      <c r="B13" s="27"/>
      <c r="C13" s="27"/>
      <c r="D13" s="27"/>
      <c r="E13" s="27"/>
      <c r="F13" s="27"/>
      <c r="G13" s="28"/>
      <c r="H13" s="15">
        <v>42542</v>
      </c>
      <c r="I13" s="26"/>
      <c r="J13" s="26"/>
      <c r="K13" s="26"/>
      <c r="L13" s="26"/>
      <c r="M13" s="26"/>
    </row>
    <row r="14" spans="1:13" s="11" customFormat="1" ht="20.25" customHeight="1" thickBot="1" x14ac:dyDescent="0.25">
      <c r="A14" s="27" t="s">
        <v>76</v>
      </c>
      <c r="B14" s="27"/>
      <c r="C14" s="27"/>
      <c r="D14" s="27"/>
      <c r="E14" s="27"/>
      <c r="F14" s="27"/>
      <c r="G14" s="28"/>
      <c r="H14" s="16">
        <v>70955</v>
      </c>
      <c r="I14" s="26"/>
      <c r="J14" s="26"/>
      <c r="K14" s="26"/>
      <c r="L14" s="26"/>
      <c r="M14" s="26"/>
    </row>
    <row r="15" spans="1:13" s="11" customFormat="1" ht="20.25" customHeight="1" thickBot="1" x14ac:dyDescent="0.25">
      <c r="A15" s="29" t="s">
        <v>71</v>
      </c>
      <c r="B15" s="29"/>
      <c r="C15" s="29"/>
      <c r="D15" s="29"/>
      <c r="E15" s="29"/>
      <c r="F15" s="29"/>
      <c r="G15" s="30"/>
      <c r="H15" s="17">
        <v>1</v>
      </c>
      <c r="I15" s="26"/>
      <c r="J15" s="26"/>
      <c r="K15" s="26"/>
      <c r="L15" s="26"/>
      <c r="M15" s="26"/>
    </row>
    <row r="16" spans="1:13" s="11" customFormat="1" ht="40.5" customHeight="1" thickBot="1" x14ac:dyDescent="0.25">
      <c r="A16" s="45" t="s">
        <v>96</v>
      </c>
      <c r="B16" s="46"/>
      <c r="C16" s="46"/>
      <c r="D16" s="46"/>
      <c r="E16" s="46"/>
      <c r="F16" s="46"/>
      <c r="G16" s="47"/>
      <c r="H16" s="18">
        <v>150</v>
      </c>
      <c r="I16" s="37" t="str">
        <f>"Your weekly accrual for Annual Leave is "&amp;TEXT(SUM('Data and Calcs'!C85:E85),"0.00")&amp;" hours."</f>
        <v>Your weekly accrual for Annual Leave is 2.82 hours.</v>
      </c>
      <c r="J16" s="38"/>
      <c r="K16" s="26"/>
      <c r="L16" s="26"/>
      <c r="M16" s="26"/>
    </row>
    <row r="17" spans="1:13" s="11" customFormat="1" ht="42" customHeight="1" thickBot="1" x14ac:dyDescent="0.25">
      <c r="A17" s="48" t="s">
        <v>81</v>
      </c>
      <c r="B17" s="48"/>
      <c r="C17" s="48"/>
      <c r="D17" s="48"/>
      <c r="E17" s="48"/>
      <c r="F17" s="48"/>
      <c r="G17" s="49"/>
      <c r="H17" s="18">
        <v>65</v>
      </c>
      <c r="I17" s="44" t="str">
        <f>"Estimated LSL based on start and end dates: "&amp;TEXT('Data and Calcs'!D18,"0.00")&amp;" days."</f>
        <v>Estimated LSL based on start and end dates: 78.02 days.</v>
      </c>
      <c r="J17" s="44"/>
      <c r="K17" s="26"/>
      <c r="L17" s="26"/>
      <c r="M17" s="26"/>
    </row>
    <row r="18" spans="1:13" s="11" customFormat="1" ht="20.25" customHeight="1" x14ac:dyDescent="0.2">
      <c r="A18" s="59">
        <v>102</v>
      </c>
      <c r="B18" s="59"/>
      <c r="C18" s="59"/>
      <c r="D18" s="59"/>
      <c r="E18" s="59"/>
      <c r="F18" s="59"/>
      <c r="G18" s="59"/>
      <c r="H18" s="59"/>
      <c r="I18" s="44"/>
      <c r="J18" s="44"/>
      <c r="K18" s="26"/>
      <c r="L18" s="26"/>
      <c r="M18" s="26"/>
    </row>
    <row r="19" spans="1:13" s="11" customFormat="1" ht="21.75" customHeight="1" x14ac:dyDescent="0.2">
      <c r="A19" s="41" t="s">
        <v>86</v>
      </c>
      <c r="B19" s="42"/>
      <c r="C19" s="42"/>
      <c r="D19" s="42"/>
      <c r="E19" s="42"/>
      <c r="F19" s="42"/>
      <c r="G19" s="42"/>
      <c r="H19" s="43"/>
      <c r="I19" s="31"/>
      <c r="J19" s="31"/>
      <c r="K19" s="26"/>
      <c r="L19" s="26"/>
      <c r="M19" s="26"/>
    </row>
    <row r="20" spans="1:13" s="11" customFormat="1" x14ac:dyDescent="0.2">
      <c r="A20" s="58"/>
      <c r="B20" s="58"/>
      <c r="C20" s="58"/>
      <c r="D20" s="58"/>
      <c r="E20" s="58"/>
      <c r="F20" s="58"/>
      <c r="G20" s="58"/>
      <c r="H20" s="58"/>
      <c r="I20" s="31"/>
      <c r="J20" s="31"/>
      <c r="K20" s="26"/>
      <c r="L20" s="26"/>
      <c r="M20" s="26"/>
    </row>
    <row r="21" spans="1:13" s="11" customFormat="1" ht="25.5" customHeight="1" x14ac:dyDescent="0.2">
      <c r="A21" s="45" t="s">
        <v>91</v>
      </c>
      <c r="B21" s="51"/>
      <c r="C21" s="51"/>
      <c r="D21" s="51"/>
      <c r="E21" s="51"/>
      <c r="F21" s="51"/>
      <c r="G21" s="11" t="s">
        <v>2</v>
      </c>
      <c r="H21" s="19">
        <f>SUM('Data and Calcs'!C49:E49)</f>
        <v>46234.879999999997</v>
      </c>
      <c r="I21" s="31"/>
      <c r="J21" s="31"/>
      <c r="K21" s="26"/>
      <c r="L21" s="26"/>
      <c r="M21" s="26"/>
    </row>
    <row r="22" spans="1:13" s="11" customFormat="1" ht="18.75" customHeight="1" x14ac:dyDescent="0.2">
      <c r="A22" s="29" t="s">
        <v>0</v>
      </c>
      <c r="B22" s="29"/>
      <c r="C22" s="29"/>
      <c r="D22" s="29"/>
      <c r="E22" s="29"/>
      <c r="F22" s="29"/>
      <c r="G22" s="11" t="s">
        <v>3</v>
      </c>
      <c r="H22" s="20">
        <f>SUM('Data and Calcs'!C82:E82)</f>
        <v>5550.41</v>
      </c>
      <c r="I22" s="31"/>
      <c r="J22" s="31"/>
      <c r="K22" s="26"/>
      <c r="L22" s="26"/>
      <c r="M22" s="26"/>
    </row>
    <row r="23" spans="1:13" s="11" customFormat="1" ht="18.75" customHeight="1" x14ac:dyDescent="0.2">
      <c r="A23" s="29" t="s">
        <v>1</v>
      </c>
      <c r="B23" s="29"/>
      <c r="C23" s="29"/>
      <c r="D23" s="29"/>
      <c r="E23" s="29"/>
      <c r="F23" s="29"/>
      <c r="G23" s="11" t="s">
        <v>4</v>
      </c>
      <c r="H23" s="20">
        <f>H14/365.25*7/5*H17</f>
        <v>17678.042436687199</v>
      </c>
      <c r="I23" s="31"/>
      <c r="J23" s="31"/>
      <c r="K23" s="26"/>
      <c r="L23" s="26"/>
      <c r="M23" s="26"/>
    </row>
    <row r="24" spans="1:13" s="11" customFormat="1" ht="18.75" customHeight="1" x14ac:dyDescent="0.2">
      <c r="A24" s="57"/>
      <c r="B24" s="57"/>
      <c r="C24" s="57"/>
      <c r="D24" s="57"/>
      <c r="E24" s="57"/>
      <c r="F24" s="57"/>
      <c r="G24" s="25"/>
      <c r="H24" s="20">
        <f>SUM('Data and Calcs'!C36:E36)</f>
        <v>0</v>
      </c>
      <c r="I24" s="31"/>
      <c r="J24" s="31"/>
      <c r="K24" s="26"/>
      <c r="L24" s="26"/>
      <c r="M24" s="26"/>
    </row>
    <row r="25" spans="1:13" s="11" customFormat="1" x14ac:dyDescent="0.2">
      <c r="A25" s="60"/>
      <c r="B25" s="60"/>
      <c r="C25" s="60"/>
      <c r="D25" s="60"/>
      <c r="E25" s="60"/>
      <c r="F25" s="60"/>
      <c r="G25" s="60"/>
      <c r="H25" s="60"/>
      <c r="I25" s="31"/>
      <c r="J25" s="31"/>
      <c r="K25" s="26"/>
      <c r="L25" s="26"/>
      <c r="M25" s="26"/>
    </row>
    <row r="26" spans="1:13" s="11" customFormat="1" ht="21.75" customHeight="1" x14ac:dyDescent="0.2">
      <c r="A26" s="41" t="s">
        <v>87</v>
      </c>
      <c r="B26" s="42"/>
      <c r="C26" s="42"/>
      <c r="D26" s="42"/>
      <c r="E26" s="42"/>
      <c r="F26" s="42"/>
      <c r="G26" s="42"/>
      <c r="H26" s="43"/>
      <c r="I26" s="31"/>
      <c r="J26" s="31"/>
      <c r="K26" s="26"/>
      <c r="L26" s="26"/>
      <c r="M26" s="26"/>
    </row>
    <row r="27" spans="1:13" s="11" customFormat="1" ht="12.75" customHeight="1" x14ac:dyDescent="0.2">
      <c r="A27" s="54"/>
      <c r="B27" s="54"/>
      <c r="C27" s="54"/>
      <c r="D27" s="54"/>
      <c r="E27" s="54"/>
      <c r="F27" s="54"/>
      <c r="G27" s="54"/>
      <c r="H27" s="54"/>
      <c r="I27" s="31"/>
      <c r="J27" s="31"/>
      <c r="K27" s="26"/>
      <c r="L27" s="26"/>
      <c r="M27" s="26"/>
    </row>
    <row r="28" spans="1:13" s="11" customFormat="1" x14ac:dyDescent="0.2">
      <c r="A28" s="29"/>
      <c r="B28" s="29"/>
      <c r="C28" s="29"/>
      <c r="D28" s="29"/>
      <c r="E28" s="29"/>
      <c r="F28" s="56" t="s">
        <v>88</v>
      </c>
      <c r="G28" s="56"/>
      <c r="H28" s="21" t="s">
        <v>7</v>
      </c>
      <c r="I28" s="31"/>
      <c r="J28" s="31"/>
      <c r="K28" s="26"/>
      <c r="L28" s="26"/>
      <c r="M28" s="26"/>
    </row>
    <row r="29" spans="1:13" s="11" customFormat="1" ht="29.25" customHeight="1" x14ac:dyDescent="0.2">
      <c r="A29" s="34" t="s">
        <v>89</v>
      </c>
      <c r="B29" s="35"/>
      <c r="C29" s="35"/>
      <c r="D29" s="35"/>
      <c r="E29" s="36"/>
      <c r="F29" s="55">
        <f>SUM('Data and Calcs'!C58:E58)</f>
        <v>0</v>
      </c>
      <c r="G29" s="55"/>
      <c r="H29" s="22">
        <v>0</v>
      </c>
      <c r="I29" s="31"/>
      <c r="J29" s="31"/>
      <c r="K29" s="26"/>
      <c r="L29" s="26"/>
      <c r="M29" s="26"/>
    </row>
    <row r="30" spans="1:13" s="11" customFormat="1" ht="18.75" customHeight="1" x14ac:dyDescent="0.2">
      <c r="A30" s="29" t="s">
        <v>90</v>
      </c>
      <c r="B30" s="29"/>
      <c r="C30" s="29"/>
      <c r="D30" s="29"/>
      <c r="E30" s="53"/>
      <c r="F30" s="55">
        <f>SUM('Data and Calcs'!C59:E59)</f>
        <v>46234.879999999997</v>
      </c>
      <c r="G30" s="55"/>
      <c r="H30" s="19">
        <f>SUM('Data and Calcs'!C78:E78)</f>
        <v>7859.9296000000004</v>
      </c>
      <c r="I30" s="31"/>
      <c r="J30" s="31"/>
      <c r="K30" s="26"/>
      <c r="L30" s="26"/>
      <c r="M30" s="26"/>
    </row>
    <row r="31" spans="1:13" s="11" customFormat="1" ht="18.75" customHeight="1" x14ac:dyDescent="0.2">
      <c r="A31" s="29" t="s">
        <v>11</v>
      </c>
      <c r="B31" s="29"/>
      <c r="C31" s="29"/>
      <c r="D31" s="29"/>
      <c r="E31" s="29"/>
      <c r="F31" s="29"/>
      <c r="G31" s="53"/>
      <c r="H31" s="19">
        <f>(H22+H23)*+'Data and Calcs'!C63</f>
        <v>7433.1047797399042</v>
      </c>
      <c r="I31" s="31"/>
      <c r="J31" s="31"/>
      <c r="K31" s="26"/>
      <c r="L31" s="26"/>
      <c r="M31" s="26"/>
    </row>
    <row r="32" spans="1:13" s="11" customFormat="1" x14ac:dyDescent="0.2">
      <c r="A32" s="50" t="s">
        <v>78</v>
      </c>
      <c r="B32" s="50"/>
      <c r="C32" s="50"/>
      <c r="D32" s="50"/>
      <c r="E32" s="50"/>
      <c r="F32" s="50"/>
      <c r="G32" s="50"/>
      <c r="H32" s="58"/>
      <c r="I32" s="31"/>
      <c r="J32" s="31"/>
      <c r="K32" s="26"/>
      <c r="L32" s="26"/>
      <c r="M32" s="26"/>
    </row>
    <row r="33" spans="1:13" s="11" customFormat="1" x14ac:dyDescent="0.2">
      <c r="A33" s="50"/>
      <c r="B33" s="50"/>
      <c r="C33" s="50"/>
      <c r="D33" s="50"/>
      <c r="E33" s="50"/>
      <c r="F33" s="50"/>
      <c r="G33" s="50"/>
      <c r="H33" s="59"/>
      <c r="I33" s="31"/>
      <c r="J33" s="31"/>
      <c r="K33" s="26"/>
      <c r="L33" s="26"/>
      <c r="M33" s="26"/>
    </row>
    <row r="34" spans="1:13" s="11" customFormat="1" ht="19.5" customHeight="1" x14ac:dyDescent="0.2">
      <c r="A34" s="31"/>
      <c r="B34" s="31"/>
      <c r="C34" s="31"/>
      <c r="D34" s="31"/>
      <c r="E34" s="31"/>
      <c r="F34" s="32" t="s">
        <v>8</v>
      </c>
      <c r="G34" s="33"/>
      <c r="H34" s="23">
        <f>SUM(H21:H24)</f>
        <v>69463.332436687197</v>
      </c>
      <c r="I34" s="31"/>
      <c r="J34" s="31"/>
      <c r="K34" s="26"/>
      <c r="L34" s="26"/>
      <c r="M34" s="26"/>
    </row>
    <row r="35" spans="1:13" s="11" customFormat="1" ht="19.5" customHeight="1" x14ac:dyDescent="0.2">
      <c r="A35" s="31"/>
      <c r="B35" s="31"/>
      <c r="C35" s="31"/>
      <c r="D35" s="31"/>
      <c r="E35" s="31"/>
      <c r="F35" s="32" t="s">
        <v>9</v>
      </c>
      <c r="G35" s="33"/>
      <c r="H35" s="23">
        <f>SUM(H29:H31)</f>
        <v>15293.034379739904</v>
      </c>
      <c r="I35" s="31"/>
      <c r="J35" s="31"/>
      <c r="K35" s="26"/>
      <c r="L35" s="26"/>
      <c r="M35" s="26"/>
    </row>
    <row r="36" spans="1:13" s="11" customFormat="1" ht="19.5" customHeight="1" x14ac:dyDescent="0.2">
      <c r="A36" s="31"/>
      <c r="B36" s="31"/>
      <c r="C36" s="31"/>
      <c r="D36" s="31"/>
      <c r="E36" s="31"/>
      <c r="F36" s="32" t="s">
        <v>10</v>
      </c>
      <c r="G36" s="33"/>
      <c r="H36" s="23">
        <f>H34-H35</f>
        <v>54170.298056947293</v>
      </c>
      <c r="I36" s="31"/>
      <c r="J36" s="31"/>
      <c r="K36" s="26"/>
      <c r="L36" s="26"/>
      <c r="M36" s="26"/>
    </row>
    <row r="37" spans="1:13" s="11" customFormat="1" ht="30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26"/>
      <c r="L37" s="26"/>
      <c r="M37" s="26"/>
    </row>
    <row r="38" spans="1:13" s="11" customFormat="1" ht="21" customHeight="1" x14ac:dyDescent="0.2">
      <c r="A38" s="40" t="s">
        <v>12</v>
      </c>
      <c r="B38" s="40"/>
      <c r="C38" s="40"/>
      <c r="D38" s="40"/>
      <c r="E38" s="40"/>
      <c r="F38" s="40"/>
      <c r="G38" s="40"/>
      <c r="H38" s="40"/>
      <c r="I38" s="31"/>
      <c r="J38" s="31"/>
      <c r="K38" s="26"/>
      <c r="L38" s="26"/>
      <c r="M38" s="26"/>
    </row>
    <row r="39" spans="1:13" s="11" customFormat="1" ht="21" customHeight="1" x14ac:dyDescent="0.2">
      <c r="A39" s="40" t="s">
        <v>5</v>
      </c>
      <c r="B39" s="40"/>
      <c r="C39" s="40"/>
      <c r="D39" s="40"/>
      <c r="E39" s="40"/>
      <c r="F39" s="40"/>
      <c r="G39" s="40"/>
      <c r="H39" s="40"/>
      <c r="I39" s="31"/>
      <c r="J39" s="31"/>
      <c r="K39" s="26"/>
      <c r="L39" s="26"/>
      <c r="M39" s="26"/>
    </row>
    <row r="40" spans="1:13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</sheetData>
  <sheetProtection algorithmName="SHA-512" hashValue="yRY2xoK9QJK9yDTiGVfm8WfnJ+heMWeFdI6ZKGnNCDIigEodo61M09tgl5CkbpTTh466IeM89uBIA55lt33kbA==" saltValue="3vqLkpOzPFBd2Yj3V7qZiA==" spinCount="100000" sheet="1" selectLockedCells="1"/>
  <mergeCells count="51">
    <mergeCell ref="A20:H20"/>
    <mergeCell ref="A18:H18"/>
    <mergeCell ref="A27:H27"/>
    <mergeCell ref="A1:H1"/>
    <mergeCell ref="A19:H19"/>
    <mergeCell ref="A3:H3"/>
    <mergeCell ref="A2:H2"/>
    <mergeCell ref="A38:H38"/>
    <mergeCell ref="F29:G29"/>
    <mergeCell ref="F30:G30"/>
    <mergeCell ref="F28:G28"/>
    <mergeCell ref="A22:F22"/>
    <mergeCell ref="A23:F23"/>
    <mergeCell ref="A24:F24"/>
    <mergeCell ref="F36:G36"/>
    <mergeCell ref="H32:H33"/>
    <mergeCell ref="A31:G31"/>
    <mergeCell ref="A25:H25"/>
    <mergeCell ref="A28:E28"/>
    <mergeCell ref="A39:H39"/>
    <mergeCell ref="A26:H26"/>
    <mergeCell ref="I17:J18"/>
    <mergeCell ref="A4:H4"/>
    <mergeCell ref="A16:G16"/>
    <mergeCell ref="A17:G17"/>
    <mergeCell ref="A32:G33"/>
    <mergeCell ref="A8:G8"/>
    <mergeCell ref="A21:F21"/>
    <mergeCell ref="A10:G10"/>
    <mergeCell ref="A30:E30"/>
    <mergeCell ref="A11:G11"/>
    <mergeCell ref="A5:H5"/>
    <mergeCell ref="I1:J15"/>
    <mergeCell ref="I19:J39"/>
    <mergeCell ref="A9:G9"/>
    <mergeCell ref="A40:M61"/>
    <mergeCell ref="A12:G12"/>
    <mergeCell ref="A13:G13"/>
    <mergeCell ref="A14:G14"/>
    <mergeCell ref="A15:G15"/>
    <mergeCell ref="A37:H37"/>
    <mergeCell ref="A34:E34"/>
    <mergeCell ref="A35:E35"/>
    <mergeCell ref="A36:E36"/>
    <mergeCell ref="F35:G35"/>
    <mergeCell ref="A29:E29"/>
    <mergeCell ref="I16:J16"/>
    <mergeCell ref="F34:G34"/>
    <mergeCell ref="K1:M39"/>
    <mergeCell ref="A7:H7"/>
    <mergeCell ref="B6:H6"/>
  </mergeCells>
  <phoneticPr fontId="4" type="noConversion"/>
  <dataValidations count="2">
    <dataValidation type="list" allowBlank="1" showInputMessage="1" showErrorMessage="1" error="A valid Staff Type must be selected from the list." prompt="A valid Staff Type must be selected_x000a_ from the list" sqref="H9">
      <formula1>StaffTypes</formula1>
    </dataValidation>
    <dataValidation type="list" allowBlank="1" showInputMessage="1" showErrorMessage="1" error="A valid Staff Type must be selected from the list." prompt="A valid Redundancy Type must be selected_x000a_ from the list" sqref="H10">
      <formula1>Type</formula1>
    </dataValidation>
  </dataValidations>
  <pageMargins left="0.84" right="0.17" top="0.45" bottom="0.38" header="0.34" footer="0.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85"/>
  <sheetViews>
    <sheetView workbookViewId="0">
      <selection activeCell="C55" sqref="C55"/>
    </sheetView>
  </sheetViews>
  <sheetFormatPr defaultRowHeight="12.75" x14ac:dyDescent="0.2"/>
  <cols>
    <col min="1" max="1" width="18.140625" customWidth="1"/>
    <col min="2" max="2" width="4.5703125" customWidth="1"/>
    <col min="3" max="3" width="27.140625" customWidth="1"/>
    <col min="4" max="4" width="21.42578125" customWidth="1"/>
    <col min="5" max="5" width="23.85546875" customWidth="1"/>
    <col min="6" max="6" width="10.140625" bestFit="1" customWidth="1"/>
    <col min="7" max="7" width="11.140625" bestFit="1" customWidth="1"/>
  </cols>
  <sheetData>
    <row r="1" spans="1:7" x14ac:dyDescent="0.2">
      <c r="A1" t="s">
        <v>16</v>
      </c>
      <c r="B1" t="s">
        <v>13</v>
      </c>
      <c r="C1" t="s">
        <v>22</v>
      </c>
      <c r="D1" s="4">
        <f>+Estimate!H11</f>
        <v>20210</v>
      </c>
    </row>
    <row r="2" spans="1:7" x14ac:dyDescent="0.2">
      <c r="A2" t="s">
        <v>17</v>
      </c>
      <c r="B2" t="s">
        <v>14</v>
      </c>
      <c r="C2" t="s">
        <v>23</v>
      </c>
      <c r="D2" s="4">
        <f>+Estimate!H12</f>
        <v>38159</v>
      </c>
    </row>
    <row r="3" spans="1:7" x14ac:dyDescent="0.2">
      <c r="A3" t="s">
        <v>18</v>
      </c>
      <c r="B3" t="s">
        <v>15</v>
      </c>
      <c r="C3" t="s">
        <v>24</v>
      </c>
      <c r="D3" s="4">
        <f>+Estimate!H13</f>
        <v>42542</v>
      </c>
    </row>
    <row r="4" spans="1:7" x14ac:dyDescent="0.2">
      <c r="C4" t="s">
        <v>25</v>
      </c>
      <c r="D4" s="3">
        <f>+Estimate!H14</f>
        <v>70955</v>
      </c>
    </row>
    <row r="5" spans="1:7" x14ac:dyDescent="0.2">
      <c r="A5" t="s">
        <v>82</v>
      </c>
      <c r="C5" t="s">
        <v>26</v>
      </c>
      <c r="D5" s="1">
        <f>+Estimate!H15</f>
        <v>1</v>
      </c>
      <c r="F5" s="10">
        <v>22098</v>
      </c>
      <c r="G5">
        <v>55</v>
      </c>
    </row>
    <row r="6" spans="1:7" x14ac:dyDescent="0.2">
      <c r="A6" t="s">
        <v>83</v>
      </c>
      <c r="C6" t="s">
        <v>27</v>
      </c>
      <c r="D6" s="2">
        <f>+Estimate!H16</f>
        <v>150</v>
      </c>
      <c r="F6" s="10">
        <v>22462</v>
      </c>
      <c r="G6">
        <v>56</v>
      </c>
    </row>
    <row r="7" spans="1:7" x14ac:dyDescent="0.2">
      <c r="C7" t="s">
        <v>28</v>
      </c>
      <c r="D7" s="2">
        <f>+Estimate!H17</f>
        <v>65</v>
      </c>
      <c r="F7" s="10">
        <v>22827</v>
      </c>
      <c r="G7">
        <v>57</v>
      </c>
    </row>
    <row r="8" spans="1:7" x14ac:dyDescent="0.2">
      <c r="F8" s="10">
        <v>23192</v>
      </c>
      <c r="G8">
        <v>58</v>
      </c>
    </row>
    <row r="9" spans="1:7" x14ac:dyDescent="0.2">
      <c r="C9" t="s">
        <v>29</v>
      </c>
      <c r="D9">
        <f>DATEDIF(D2,D3+1,"y")</f>
        <v>12</v>
      </c>
      <c r="F9" s="10">
        <v>23558</v>
      </c>
      <c r="G9">
        <v>59</v>
      </c>
    </row>
    <row r="10" spans="1:7" x14ac:dyDescent="0.2">
      <c r="C10" t="s">
        <v>30</v>
      </c>
      <c r="D10">
        <f>DATEDIF(D2,D3+1,"ym")</f>
        <v>0</v>
      </c>
      <c r="F10" s="10">
        <v>38169</v>
      </c>
      <c r="G10">
        <v>60</v>
      </c>
    </row>
    <row r="11" spans="1:7" x14ac:dyDescent="0.2">
      <c r="C11" t="s">
        <v>31</v>
      </c>
      <c r="D11">
        <f>DATEDIF(D2,D3+1,"md")</f>
        <v>1</v>
      </c>
    </row>
    <row r="13" spans="1:7" x14ac:dyDescent="0.2">
      <c r="C13" t="s">
        <v>66</v>
      </c>
      <c r="D13">
        <f>ROUND(+D9+(D10/12),4)</f>
        <v>12</v>
      </c>
    </row>
    <row r="15" spans="1:7" x14ac:dyDescent="0.2">
      <c r="C15" t="s">
        <v>62</v>
      </c>
      <c r="D15">
        <f>YEAR(D3)</f>
        <v>2016</v>
      </c>
    </row>
    <row r="16" spans="1:7" x14ac:dyDescent="0.2">
      <c r="C16" t="s">
        <v>61</v>
      </c>
      <c r="D16" s="2">
        <f>DATE(YEAR(D3),12,31)-DATE(YEAR(D3),1,1)+1</f>
        <v>366</v>
      </c>
    </row>
    <row r="18" spans="1:5" x14ac:dyDescent="0.2">
      <c r="C18" t="s">
        <v>60</v>
      </c>
      <c r="D18" s="2">
        <f>(+D3-D2+1)/365.25*6.5*D5</f>
        <v>78.017796030116358</v>
      </c>
    </row>
    <row r="20" spans="1:5" x14ac:dyDescent="0.2">
      <c r="C20" t="s">
        <v>50</v>
      </c>
      <c r="D20">
        <f>DATEDIF(D1,D3+1,"y")</f>
        <v>61</v>
      </c>
    </row>
    <row r="21" spans="1:5" x14ac:dyDescent="0.2">
      <c r="C21" t="s">
        <v>51</v>
      </c>
      <c r="D21">
        <f>DATEDIF(D1,D3+1,"ym")</f>
        <v>1</v>
      </c>
    </row>
    <row r="22" spans="1:5" x14ac:dyDescent="0.2">
      <c r="C22" t="s">
        <v>52</v>
      </c>
      <c r="D22">
        <f>DATEDIF(D1,D3+1,"md")</f>
        <v>21</v>
      </c>
    </row>
    <row r="24" spans="1:5" x14ac:dyDescent="0.2">
      <c r="C24" t="s">
        <v>37</v>
      </c>
      <c r="D24" s="9">
        <f>IF(D9&gt;10,10,D13)</f>
        <v>10</v>
      </c>
    </row>
    <row r="25" spans="1:5" x14ac:dyDescent="0.2">
      <c r="C25" t="s">
        <v>38</v>
      </c>
      <c r="D25" s="9">
        <f>ROUND(IF(D24=D13,0,D13-D24),4)</f>
        <v>2</v>
      </c>
    </row>
    <row r="29" spans="1:5" x14ac:dyDescent="0.2">
      <c r="C29" t="s">
        <v>19</v>
      </c>
      <c r="D29" t="s">
        <v>20</v>
      </c>
      <c r="E29" t="s">
        <v>21</v>
      </c>
    </row>
    <row r="31" spans="1:5" x14ac:dyDescent="0.2">
      <c r="C31" t="str">
        <f>IF(Estimate!H9='Data and Calcs'!A1,"OK","NO")</f>
        <v>OK</v>
      </c>
      <c r="D31" t="str">
        <f>IF(A2=Estimate!H9,"OK","NO")</f>
        <v>NO</v>
      </c>
      <c r="E31" t="str">
        <f>IF(A3=Estimate!H9,"OK","NO")</f>
        <v>NO</v>
      </c>
    </row>
    <row r="32" spans="1:5" x14ac:dyDescent="0.2">
      <c r="A32" t="s">
        <v>84</v>
      </c>
      <c r="C32" t="str">
        <f>IF(Estimate!$H$10='Data and Calcs'!$A$5,"V","T")</f>
        <v>V</v>
      </c>
      <c r="D32" t="str">
        <f>IF(Estimate!$H$10='Data and Calcs'!$A$5,"V","T")</f>
        <v>V</v>
      </c>
      <c r="E32" t="str">
        <f>IF(Estimate!$H$10='Data and Calcs'!$A$5,"V","T")</f>
        <v>V</v>
      </c>
    </row>
    <row r="34" spans="1:5" x14ac:dyDescent="0.2">
      <c r="A34" t="s">
        <v>32</v>
      </c>
      <c r="C34" s="3">
        <v>0</v>
      </c>
      <c r="D34" s="3">
        <v>0</v>
      </c>
      <c r="E34" s="3">
        <f>IF(E32="V",10000,0)</f>
        <v>10000</v>
      </c>
    </row>
    <row r="36" spans="1:5" x14ac:dyDescent="0.2">
      <c r="A36" t="s">
        <v>33</v>
      </c>
      <c r="C36" s="8">
        <f>ROUND(IF(C31="NO",0,C34*D5),2)</f>
        <v>0</v>
      </c>
      <c r="D36" s="8">
        <f>ROUND(IF(D31="NO",0,D34*D5),2)</f>
        <v>0</v>
      </c>
      <c r="E36" s="8">
        <f>ROUND(IF(E31="NO",0,E34*D5),2)</f>
        <v>0</v>
      </c>
    </row>
    <row r="38" spans="1:5" x14ac:dyDescent="0.2">
      <c r="A38" t="s">
        <v>35</v>
      </c>
      <c r="C38">
        <v>2</v>
      </c>
      <c r="D38">
        <v>2</v>
      </c>
      <c r="E38">
        <v>2</v>
      </c>
    </row>
    <row r="39" spans="1:5" x14ac:dyDescent="0.2">
      <c r="A39" t="s">
        <v>36</v>
      </c>
      <c r="C39">
        <v>2</v>
      </c>
      <c r="D39">
        <v>2</v>
      </c>
      <c r="E39">
        <v>2</v>
      </c>
    </row>
    <row r="41" spans="1:5" x14ac:dyDescent="0.2">
      <c r="A41" t="s">
        <v>34</v>
      </c>
      <c r="C41">
        <f>52+C44</f>
        <v>62</v>
      </c>
      <c r="D41">
        <f>52+D44</f>
        <v>72</v>
      </c>
      <c r="E41">
        <f>IF(E32="T",20+E44,30+E44)</f>
        <v>40</v>
      </c>
    </row>
    <row r="43" spans="1:5" x14ac:dyDescent="0.2">
      <c r="A43" t="s">
        <v>39</v>
      </c>
      <c r="C43" s="9">
        <f>IF(C31="NO",0,(C38*$D$24))</f>
        <v>20</v>
      </c>
      <c r="D43" s="9">
        <f>IF(D31="NO",0,(D38*$D$24))</f>
        <v>0</v>
      </c>
      <c r="E43" s="9">
        <f>IF(E31="NO",0,(E38*$D$24))</f>
        <v>0</v>
      </c>
    </row>
    <row r="44" spans="1:5" x14ac:dyDescent="0.2">
      <c r="A44" t="s">
        <v>72</v>
      </c>
      <c r="C44" s="9">
        <v>10</v>
      </c>
      <c r="D44" s="9">
        <v>20</v>
      </c>
      <c r="E44" s="9">
        <v>10</v>
      </c>
    </row>
    <row r="45" spans="1:5" x14ac:dyDescent="0.2">
      <c r="A45" t="s">
        <v>40</v>
      </c>
      <c r="C45" s="9">
        <f>IF(C31="NO",0,C39*$D$25)</f>
        <v>4</v>
      </c>
      <c r="D45" s="9">
        <f>IF(D31="NO",0,D39*$D$25)</f>
        <v>0</v>
      </c>
      <c r="E45" s="9">
        <f>IF(E31="NO",0,E39*$D$25)</f>
        <v>0</v>
      </c>
    </row>
    <row r="46" spans="1:5" x14ac:dyDescent="0.2">
      <c r="A46" t="s">
        <v>41</v>
      </c>
      <c r="C46">
        <f>SUM(C43:C45)</f>
        <v>34</v>
      </c>
      <c r="D46">
        <f>SUM(D43:D45)</f>
        <v>20</v>
      </c>
      <c r="E46">
        <f>SUM(E43:E45)</f>
        <v>10</v>
      </c>
    </row>
    <row r="47" spans="1:5" x14ac:dyDescent="0.2">
      <c r="A47" t="s">
        <v>42</v>
      </c>
      <c r="C47">
        <f>IF(C31="NO",0,IF(C46&lt;12,12,IF(C46&gt;C41,C41,C46)))</f>
        <v>34</v>
      </c>
      <c r="D47">
        <f>IF(D31="NO",0,IF(D46&gt;D41,D41,D46))</f>
        <v>0</v>
      </c>
      <c r="E47">
        <f>IF(E31="NO",0,IF(E46&gt;E41,E41,E46))</f>
        <v>0</v>
      </c>
    </row>
    <row r="49" spans="1:7" x14ac:dyDescent="0.2">
      <c r="A49" t="s">
        <v>43</v>
      </c>
      <c r="C49" s="8">
        <f>ROUND(+$D$4/365.25*C47*7*$D$5,2)</f>
        <v>46234.879999999997</v>
      </c>
      <c r="D49" s="8">
        <f>ROUND(+$D$4/365.25*D47*7*$D$5,2)</f>
        <v>0</v>
      </c>
      <c r="E49" s="8">
        <f>ROUND(+$D$4/365.25*E47*7*$D$5,2)</f>
        <v>0</v>
      </c>
    </row>
    <row r="50" spans="1:7" x14ac:dyDescent="0.2">
      <c r="A50" t="s">
        <v>65</v>
      </c>
      <c r="C50" s="5">
        <f>+C49+C36</f>
        <v>46234.879999999997</v>
      </c>
      <c r="D50" s="5">
        <f>+D49+D36</f>
        <v>0</v>
      </c>
      <c r="E50" s="5">
        <f>+E49+E36</f>
        <v>0</v>
      </c>
    </row>
    <row r="52" spans="1:7" x14ac:dyDescent="0.2">
      <c r="A52" t="s">
        <v>44</v>
      </c>
    </row>
    <row r="53" spans="1:7" x14ac:dyDescent="0.2">
      <c r="A53" t="s">
        <v>45</v>
      </c>
      <c r="C53" s="5">
        <v>0</v>
      </c>
      <c r="D53" s="5">
        <f>+C53</f>
        <v>0</v>
      </c>
      <c r="E53" s="5">
        <f>+D53</f>
        <v>0</v>
      </c>
    </row>
    <row r="54" spans="1:7" x14ac:dyDescent="0.2">
      <c r="A54" t="s">
        <v>46</v>
      </c>
      <c r="C54" s="5">
        <v>0</v>
      </c>
      <c r="D54" s="5">
        <f>+C54</f>
        <v>0</v>
      </c>
      <c r="E54" s="5">
        <f>+D54</f>
        <v>0</v>
      </c>
    </row>
    <row r="56" spans="1:7" x14ac:dyDescent="0.2">
      <c r="A56" t="s">
        <v>48</v>
      </c>
      <c r="C56" s="5">
        <f>IF($D$20&lt;65,IF(C31="NO",0,(C54*$D$9)+C53),0)</f>
        <v>0</v>
      </c>
      <c r="D56" s="5">
        <f>IF($D$20&lt;65,IF(D31="NO",0,(D54*$D$9)+D53),0)</f>
        <v>0</v>
      </c>
      <c r="E56" s="5">
        <f>IF($D$20&lt;65,IF(E31="NO",0,(E54*$D$9)+E53),0)</f>
        <v>0</v>
      </c>
    </row>
    <row r="58" spans="1:7" x14ac:dyDescent="0.2">
      <c r="A58" t="s">
        <v>47</v>
      </c>
      <c r="C58" s="8">
        <f>IF(C31="NO",0,IF(C56&gt;C50,C50,C56))</f>
        <v>0</v>
      </c>
      <c r="D58" s="8">
        <f>IF(D31="NO",0,IF(D56&gt;D50,D50,D56))</f>
        <v>0</v>
      </c>
      <c r="E58" s="8">
        <f>IF(E31="NO",0,IF(E56&gt;E50,E50,E56))</f>
        <v>0</v>
      </c>
    </row>
    <row r="59" spans="1:7" x14ac:dyDescent="0.2">
      <c r="A59" t="s">
        <v>49</v>
      </c>
      <c r="C59" s="8">
        <f>+C50-C58</f>
        <v>46234.879999999997</v>
      </c>
      <c r="D59" s="8">
        <f>+D50-D58</f>
        <v>0</v>
      </c>
      <c r="E59" s="8">
        <f>+E50-E58</f>
        <v>0</v>
      </c>
    </row>
    <row r="60" spans="1:7" x14ac:dyDescent="0.2">
      <c r="C60" s="5"/>
      <c r="G60" s="5"/>
    </row>
    <row r="61" spans="1:7" x14ac:dyDescent="0.2">
      <c r="A61" t="s">
        <v>68</v>
      </c>
      <c r="C61">
        <f>IF(D1&lt;F5,G5,IF(D1&lt;F6,G6,IF(D1&lt;F7,G7,IF(D1&lt;F8,G8,IF(D1&lt;F9,G9,G10)))))</f>
        <v>55</v>
      </c>
      <c r="D61">
        <f>IF(D1&lt;F5,G5,IF(D1&lt;F6,G6,IF(D1&lt;F7,G7,IF(D1&lt;F8,G8,IF(D1&lt;F9,G9,G10)))))</f>
        <v>55</v>
      </c>
      <c r="E61">
        <f>IF(D1&lt;F5,G5,IF(D1&lt;F6,G6,IF(D1&lt;F7,G7,IF(D1&lt;F8,G8,IF(D1&lt;F9,G9,G10)))))</f>
        <v>55</v>
      </c>
      <c r="G61" s="5"/>
    </row>
    <row r="62" spans="1:7" x14ac:dyDescent="0.2">
      <c r="C62" s="5"/>
      <c r="G62" s="5"/>
    </row>
    <row r="63" spans="1:7" x14ac:dyDescent="0.2">
      <c r="A63" t="s">
        <v>69</v>
      </c>
      <c r="C63" s="1">
        <v>0.32</v>
      </c>
      <c r="D63" s="1">
        <v>0.32</v>
      </c>
      <c r="E63" s="1">
        <v>0.32</v>
      </c>
    </row>
    <row r="64" spans="1:7" x14ac:dyDescent="0.2">
      <c r="A64" t="s">
        <v>70</v>
      </c>
      <c r="C64" s="1">
        <v>0.17</v>
      </c>
      <c r="D64" s="1">
        <v>0.17</v>
      </c>
      <c r="E64" s="1">
        <v>0.17</v>
      </c>
    </row>
    <row r="65" spans="1:5" x14ac:dyDescent="0.2">
      <c r="C65" s="1"/>
      <c r="D65" s="1"/>
      <c r="E65" s="1"/>
    </row>
    <row r="67" spans="1:5" x14ac:dyDescent="0.2">
      <c r="A67" t="s">
        <v>67</v>
      </c>
      <c r="C67" s="1">
        <f>IF(C31="NO",0,IF($D20&lt;C61,C63,C64))</f>
        <v>0.17</v>
      </c>
      <c r="D67" s="1">
        <f>IF(D31="NO",0,IF($D20&lt;D61,D63,D64))</f>
        <v>0</v>
      </c>
      <c r="E67" s="1">
        <f>IF(E31="NO",0,IF($D20&lt;E61,E63,E64))</f>
        <v>0</v>
      </c>
    </row>
    <row r="69" spans="1:5" x14ac:dyDescent="0.2">
      <c r="A69" t="s">
        <v>53</v>
      </c>
      <c r="C69" s="1">
        <f>IF(C31="NO",0,C67)</f>
        <v>0.17</v>
      </c>
      <c r="D69" s="1">
        <f>IF(D31="NO",0,D67)</f>
        <v>0</v>
      </c>
      <c r="E69" s="1">
        <f>IF(E31="NO",0,E67)</f>
        <v>0</v>
      </c>
    </row>
    <row r="71" spans="1:5" x14ac:dyDescent="0.2">
      <c r="A71" t="s">
        <v>54</v>
      </c>
      <c r="C71" s="6">
        <v>195000</v>
      </c>
      <c r="D71" s="6">
        <v>195000</v>
      </c>
      <c r="E71" s="6">
        <v>195000</v>
      </c>
    </row>
    <row r="72" spans="1:5" x14ac:dyDescent="0.2">
      <c r="A72" t="s">
        <v>55</v>
      </c>
      <c r="C72" s="1">
        <v>0.49</v>
      </c>
      <c r="D72" s="1">
        <v>0.49</v>
      </c>
      <c r="E72" s="1">
        <v>0.49</v>
      </c>
    </row>
    <row r="74" spans="1:5" x14ac:dyDescent="0.2">
      <c r="A74" t="s">
        <v>56</v>
      </c>
      <c r="C74" s="6">
        <f>IF(C31="NO",0,IF(+C59-C71&lt;0,0,+C59-C71))</f>
        <v>0</v>
      </c>
      <c r="D74" s="6">
        <f>IF(D31="NO",0,IF(+D59-D71&lt;0,0,+D59-D71))</f>
        <v>0</v>
      </c>
      <c r="E74" s="6">
        <f>IF(E31="NO",0,IF(+E59-E71&lt;0,0,+E59-E71))</f>
        <v>0</v>
      </c>
    </row>
    <row r="75" spans="1:5" x14ac:dyDescent="0.2">
      <c r="C75" s="6"/>
      <c r="D75" s="6"/>
      <c r="E75" s="6"/>
    </row>
    <row r="76" spans="1:5" x14ac:dyDescent="0.2">
      <c r="A76" t="s">
        <v>58</v>
      </c>
      <c r="C76" s="6">
        <f>IF(C77=0,IF(C31="NO",0,+C69*C59),0)</f>
        <v>7859.9296000000004</v>
      </c>
      <c r="D76" s="6">
        <f>IF(D77=0,IF(D31="NO",0,+D69*D59),0)</f>
        <v>0</v>
      </c>
      <c r="E76" s="6">
        <f>IF(E77=0,IF(E31="NO",0,+E69*E59),0)</f>
        <v>0</v>
      </c>
    </row>
    <row r="77" spans="1:5" x14ac:dyDescent="0.2">
      <c r="A77" t="s">
        <v>57</v>
      </c>
      <c r="C77" s="5">
        <f>+C74*C72</f>
        <v>0</v>
      </c>
      <c r="D77" s="5">
        <f>+D74*D72</f>
        <v>0</v>
      </c>
      <c r="E77" s="5">
        <f>+E74*E72</f>
        <v>0</v>
      </c>
    </row>
    <row r="78" spans="1:5" x14ac:dyDescent="0.2">
      <c r="A78" t="s">
        <v>59</v>
      </c>
      <c r="C78" s="7">
        <f>SUM(C76:C77)</f>
        <v>7859.9296000000004</v>
      </c>
      <c r="D78" s="7">
        <f>SUM(D76:D77)</f>
        <v>0</v>
      </c>
      <c r="E78" s="7">
        <f>SUM(E76:E77)</f>
        <v>0</v>
      </c>
    </row>
    <row r="80" spans="1:5" x14ac:dyDescent="0.2">
      <c r="A80" t="s">
        <v>63</v>
      </c>
      <c r="C80" s="2">
        <v>73.5</v>
      </c>
      <c r="D80" s="2">
        <v>76</v>
      </c>
      <c r="E80" s="2">
        <v>76</v>
      </c>
    </row>
    <row r="82" spans="1:5" x14ac:dyDescent="0.2">
      <c r="A82" t="s">
        <v>64</v>
      </c>
      <c r="C82" s="8">
        <f>ROUND(IF(C31="NO",0,$D$4/365.25*14/C80*$D$6),2)</f>
        <v>5550.41</v>
      </c>
      <c r="D82" s="8">
        <f>ROUND(IF(D31="NO",0,$D$4/365.25*14/D80*$D$6),2)</f>
        <v>0</v>
      </c>
      <c r="E82" s="8">
        <f>ROUND(IF(E31="NO",0,$D$4/365.25*14/E80*$D$6),2)</f>
        <v>0</v>
      </c>
    </row>
    <row r="84" spans="1:5" x14ac:dyDescent="0.2">
      <c r="C84" s="2"/>
    </row>
    <row r="85" spans="1:5" x14ac:dyDescent="0.2">
      <c r="C85">
        <f>IF(C31="NO",0,ROUND(+C80*2/365.25*7*$D$5,4))</f>
        <v>2.8172000000000001</v>
      </c>
      <c r="D85">
        <f>IF(D31="NO",0,ROUND(+D80*2/365.25*7*$D$5,4))</f>
        <v>0</v>
      </c>
      <c r="E85">
        <f>IF(E31="NO",0,ROUND(+E80*2/365.25*7*$D$5,4))</f>
        <v>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6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Estimate</vt:lpstr>
      <vt:lpstr>Data and Calcs</vt:lpstr>
      <vt:lpstr>Estimate!Print_Area</vt:lpstr>
      <vt:lpstr>StaffTypes</vt:lpstr>
      <vt:lpstr>Type</vt:lpstr>
    </vt:vector>
  </TitlesOfParts>
  <Company>University of Ballarat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Ballarat</dc:creator>
  <cp:lastModifiedBy>Shelley Nash</cp:lastModifiedBy>
  <cp:lastPrinted>2016-11-09T04:17:43Z</cp:lastPrinted>
  <dcterms:created xsi:type="dcterms:W3CDTF">2010-04-28T06:21:20Z</dcterms:created>
  <dcterms:modified xsi:type="dcterms:W3CDTF">2016-11-09T04:33:48Z</dcterms:modified>
</cp:coreProperties>
</file>